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7.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Desktop\Novos Negócios\Reuso &amp; Saneamento Industrial\Documentos Oficiais Chamamento\"/>
    </mc:Choice>
  </mc:AlternateContent>
  <xr:revisionPtr revIDLastSave="0" documentId="13_ncr:1_{1825753E-1DD2-4554-89EE-3893D3388D36}" xr6:coauthVersionLast="47" xr6:coauthVersionMax="47" xr10:uidLastSave="{00000000-0000-0000-0000-000000000000}"/>
  <workbookProtection workbookAlgorithmName="SHA-512" workbookHashValue="RoBnkk3Ju+SDDXxwzzO0uvbUGBs/au3ZvutmA8IypI+eyAsLmGFluRYN3bpSE7301NNJM4dPP6wo5v0A/IspTw==" workbookSaltValue="Z+UmUDrt9XQkKJprR988yw==" workbookSpinCount="100000" lockStructure="1"/>
  <bookViews>
    <workbookView xWindow="-120" yWindow="-120" windowWidth="29040" windowHeight="15720" activeTab="2" xr2:uid="{CC652756-1179-4C5B-96CE-3C0321473062}"/>
  </bookViews>
  <sheets>
    <sheet name="Capa" sheetId="44" r:id="rId1"/>
    <sheet name="Instruções" sheetId="45" r:id="rId2"/>
    <sheet name="Habilitação" sheetId="47" r:id="rId3"/>
    <sheet name="Classificação" sheetId="48" r:id="rId4"/>
    <sheet name="Premissas Técnicas" sheetId="38" r:id="rId5"/>
    <sheet name="Matriz de Riscos" sheetId="50" r:id="rId6"/>
    <sheet name="Dashboard" sheetId="21" r:id="rId7"/>
    <sheet name="Premissas e Cálculos" sheetId="39" r:id="rId8"/>
    <sheet name="Modelo Financeiro (MEF)" sheetId="37" r:id="rId9"/>
    <sheet name="Opções" sheetId="49" state="hidden" r:id="rId10"/>
    <sheet name="Aux_cotações" sheetId="42" state="hidden" r:id="rId11"/>
    <sheet name="Análise preliminar - Capex" sheetId="19" state="hidden" r:id="rId12"/>
    <sheet name="Aux &gt;&gt;&gt;" sheetId="33" state="hidden" r:id="rId13"/>
    <sheet name="Capex.Opex_Ref téc" sheetId="2" state="hidden" r:id="rId14"/>
    <sheet name="Aux_Capex.Opex_ETAR" sheetId="17" state="hidden" r:id="rId15"/>
    <sheet name="Aux - FOPAG" sheetId="13" r:id="rId16"/>
    <sheet name="Inflação" sheetId="4" state="hidden" r:id="rId17"/>
    <sheet name="Macro" sheetId="9" state="hidden" r:id="rId18"/>
    <sheet name="old &gt;&gt;&gt;" sheetId="34" state="hidden" r:id="rId19"/>
    <sheet name="Referencias_Capex" sheetId="3" state="hidden" r:id="rId20"/>
    <sheet name="Análise preliminar" sheetId="43" state="hidden" r:id="rId21"/>
    <sheet name="UPSLIDE_UndoFormatting" sheetId="41" state="hidden" r:id="rId22"/>
    <sheet name="UPSLIDE_Undo" sheetId="40" state="hidden" r:id="rId23"/>
  </sheets>
  <externalReferences>
    <externalReference r:id="rId24"/>
  </externalReferences>
  <definedNames>
    <definedName name="_xlnm._FilterDatabase" localSheetId="20" hidden="1">'Análise preliminar'!$K$5:$L$16</definedName>
    <definedName name="_xlnm._FilterDatabase" localSheetId="11" hidden="1">'Análise preliminar - Capex'!$K$5:$L$16</definedName>
    <definedName name="_UNDO_UPS_" hidden="1">'Premissas e Cálculos'!$E$116</definedName>
    <definedName name="_UNDO_UPS_SEL_" hidden="1">'Premissas e Cálculos'!$E$116</definedName>
    <definedName name="_UNDO31X31X_" hidden="1">'Premissas e Cálculos'!$E$116</definedName>
    <definedName name="_xlchart.v1.0" hidden="1">'Análise preliminar - Capex'!$D$6</definedName>
    <definedName name="_xlchart.v1.1" hidden="1">'Análise preliminar - Capex'!$K$5</definedName>
    <definedName name="_xlchart.v1.10" hidden="1">'Análise preliminar'!$K$5</definedName>
    <definedName name="_xlchart.v1.11" hidden="1">'Análise preliminar'!$K$6:$K$16</definedName>
    <definedName name="_xlchart.v1.2" hidden="1">'Análise preliminar - Capex'!$K$6:$K$16</definedName>
    <definedName name="_xlchart.v1.3" hidden="1">'Análise preliminar - Capex'!$L$5</definedName>
    <definedName name="_xlchart.v1.4" hidden="1">'Análise preliminar - Capex'!$L$6:$L$16</definedName>
    <definedName name="_xlchart.v1.5" hidden="1">'[1]Aux - Pessoal'!$AL$28:$AQ$28</definedName>
    <definedName name="_xlchart.v1.6" hidden="1">'[1]Aux - Pessoal'!$AL$29:$AQ$29</definedName>
    <definedName name="_xlchart.v1.7" hidden="1">'Análise preliminar'!$L$5</definedName>
    <definedName name="_xlchart.v1.8" hidden="1">'Análise preliminar'!$L$6:$L$16</definedName>
    <definedName name="_xlchart.v1.9" hidden="1">'Análise preliminar'!$D$6</definedName>
    <definedName name="DadosExternos_1" localSheetId="10" hidden="1">Aux_cotações!$C$5:$L$10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 i="48" l="1"/>
  <c r="H11" i="48"/>
  <c r="H6" i="48"/>
  <c r="H5" i="48"/>
  <c r="H4" i="48"/>
  <c r="D11" i="39"/>
  <c r="D10" i="39"/>
  <c r="D9" i="39"/>
  <c r="D8" i="39"/>
  <c r="D7" i="39"/>
  <c r="F41" i="38"/>
  <c r="F40" i="38"/>
  <c r="F39" i="38"/>
  <c r="F38" i="38"/>
  <c r="F37" i="38"/>
  <c r="D22" i="38"/>
  <c r="G15" i="48" l="1"/>
  <c r="H15" i="48" s="1"/>
  <c r="D28" i="49"/>
  <c r="E28" i="49" s="1" a="1"/>
  <c r="E28" i="49" s="1"/>
  <c r="G8" i="48" s="1"/>
  <c r="D131" i="39"/>
  <c r="D175" i="39"/>
  <c r="D19" i="39"/>
  <c r="D18" i="39"/>
  <c r="G13" i="50"/>
  <c r="H13" i="50" s="1"/>
  <c r="G12" i="50"/>
  <c r="H12" i="50" s="1"/>
  <c r="G11" i="50"/>
  <c r="H11" i="50" s="1"/>
  <c r="G10" i="50"/>
  <c r="H10" i="50" s="1"/>
  <c r="G9" i="50"/>
  <c r="H9" i="50" s="1"/>
  <c r="G8" i="50"/>
  <c r="H8" i="50" s="1"/>
  <c r="G7" i="50"/>
  <c r="H7" i="50" s="1"/>
  <c r="G6" i="50"/>
  <c r="H6" i="50" s="1"/>
  <c r="G5" i="50"/>
  <c r="H5" i="50" s="1"/>
  <c r="G4" i="50"/>
  <c r="H4" i="50" s="1"/>
  <c r="H8" i="48" l="1"/>
  <c r="H7" i="48" l="1"/>
  <c r="H16" i="48"/>
  <c r="D28" i="38" l="1"/>
  <c r="D29" i="38"/>
  <c r="D30" i="38"/>
  <c r="D31" i="38"/>
  <c r="D27" i="38"/>
  <c r="E16" i="48"/>
  <c r="E10" i="48"/>
  <c r="E7" i="48"/>
  <c r="O7" i="42" l="1"/>
  <c r="O8" i="42"/>
  <c r="O9" i="42"/>
  <c r="O10" i="42"/>
  <c r="O6" i="42"/>
  <c r="H54" i="39"/>
  <c r="G54" i="39"/>
  <c r="F54" i="39"/>
  <c r="E54" i="39"/>
  <c r="D54" i="39"/>
  <c r="E51" i="39"/>
  <c r="F51" i="39"/>
  <c r="G51" i="39"/>
  <c r="H51" i="39"/>
  <c r="D51" i="39"/>
  <c r="K25" i="42"/>
  <c r="K24" i="42"/>
  <c r="D39" i="39"/>
  <c r="F6" i="37" a="1"/>
  <c r="F6" i="37" s="1"/>
  <c r="J24" i="42" l="1"/>
  <c r="J25" i="42"/>
  <c r="AC32" i="13"/>
  <c r="AB32" i="13"/>
  <c r="AA32" i="13"/>
  <c r="Z32" i="13"/>
  <c r="Y32" i="13"/>
  <c r="X32" i="13"/>
  <c r="I32" i="13"/>
  <c r="I49" i="2" a="1"/>
  <c r="I49" i="2" s="1"/>
  <c r="I50" i="2" a="1"/>
  <c r="I50" i="2" s="1"/>
  <c r="I51" i="2" a="1"/>
  <c r="I51" i="2" s="1"/>
  <c r="I52" i="2" a="1"/>
  <c r="I52" i="2" s="1"/>
  <c r="I53" i="2" a="1"/>
  <c r="I53" i="2" s="1"/>
  <c r="I48" i="2" a="1"/>
  <c r="I48" i="2" s="1"/>
  <c r="F49" i="2"/>
  <c r="F50" i="2"/>
  <c r="F51" i="2"/>
  <c r="F52" i="2"/>
  <c r="F53" i="2"/>
  <c r="F48" i="2"/>
  <c r="E53" i="2"/>
  <c r="H27" i="2" a="1"/>
  <c r="H27" i="2" s="1"/>
  <c r="H21" i="2" a="1"/>
  <c r="H21" i="2" s="1"/>
  <c r="H22" i="2" a="1"/>
  <c r="H22" i="2" s="1"/>
  <c r="H23" i="2" a="1"/>
  <c r="H23" i="2" s="1"/>
  <c r="H15" i="2" a="1"/>
  <c r="H15" i="2" s="1"/>
  <c r="H26" i="2" a="1"/>
  <c r="H26" i="2" s="1"/>
  <c r="H20" i="2" a="1"/>
  <c r="H20" i="2" s="1"/>
  <c r="H14" i="2" a="1"/>
  <c r="H14" i="2" s="1"/>
  <c r="H13" i="2" a="1"/>
  <c r="H13" i="2" s="1"/>
  <c r="H12" i="2" a="1"/>
  <c r="H12" i="2" s="1"/>
  <c r="H11" i="2" a="1"/>
  <c r="H11" i="2" s="1"/>
  <c r="H10" i="2" a="1"/>
  <c r="H10" i="2" s="1"/>
  <c r="I79" i="2" a="1"/>
  <c r="I79" i="2" s="1"/>
  <c r="I80" i="2" a="1"/>
  <c r="I80" i="2" s="1"/>
  <c r="I81" i="2" a="1"/>
  <c r="I81" i="2" s="1"/>
  <c r="I82" i="2" a="1"/>
  <c r="I82" i="2" s="1"/>
  <c r="I78" i="2" a="1"/>
  <c r="I78" i="2" s="1"/>
  <c r="I77" i="2" a="1"/>
  <c r="I77" i="2" s="1"/>
  <c r="I71" i="2" a="1"/>
  <c r="I71" i="2" s="1"/>
  <c r="I72" i="2" a="1"/>
  <c r="I72" i="2" s="1"/>
  <c r="I73" i="2" a="1"/>
  <c r="I73" i="2" s="1"/>
  <c r="I74" i="2" a="1"/>
  <c r="I74" i="2" s="1"/>
  <c r="I75" i="2" a="1"/>
  <c r="I75" i="2" s="1"/>
  <c r="I70" i="2" a="1"/>
  <c r="I70" i="2" s="1"/>
  <c r="I69" i="2" a="1"/>
  <c r="I69" i="2" s="1"/>
  <c r="I76" i="2" s="1"/>
  <c r="I62" i="2" a="1"/>
  <c r="I62" i="2" s="1"/>
  <c r="I63" i="2" a="1"/>
  <c r="I63" i="2" s="1"/>
  <c r="I64" i="2" a="1"/>
  <c r="I64" i="2" s="1"/>
  <c r="I65" i="2" a="1"/>
  <c r="I65" i="2" s="1"/>
  <c r="I66" i="2" a="1"/>
  <c r="I66" i="2" s="1"/>
  <c r="I61" i="2" a="1"/>
  <c r="I61" i="2" s="1"/>
  <c r="E32" i="21"/>
  <c r="F32" i="21"/>
  <c r="G32" i="21"/>
  <c r="H32" i="21"/>
  <c r="D32" i="21"/>
  <c r="E31" i="21"/>
  <c r="F31" i="21"/>
  <c r="G31" i="21"/>
  <c r="H31" i="21"/>
  <c r="D31" i="21"/>
  <c r="D45" i="19"/>
  <c r="D44" i="19"/>
  <c r="J28" i="19" l="1"/>
  <c r="M28" i="19" s="1"/>
  <c r="G39" i="42"/>
  <c r="L27" i="19" a="1"/>
  <c r="L27" i="19" s="1"/>
  <c r="M27" i="19" s="1"/>
  <c r="L26" i="19" a="1"/>
  <c r="L26" i="19" s="1"/>
  <c r="M26" i="19" s="1"/>
  <c r="C27" i="19"/>
  <c r="C40" i="19" l="1"/>
  <c r="C42" i="19" s="1"/>
  <c r="C41" i="19" l="1"/>
  <c r="C60" i="43" l="1"/>
  <c r="C48" i="43"/>
  <c r="C50" i="43" s="1"/>
  <c r="C42" i="43"/>
  <c r="I39" i="43"/>
  <c r="D39" i="43"/>
  <c r="M38" i="43"/>
  <c r="H26" i="43"/>
  <c r="H27" i="43" s="1"/>
  <c r="C26" i="43"/>
  <c r="C27" i="43" s="1"/>
  <c r="L19" i="43"/>
  <c r="K19" i="43"/>
  <c r="L18" i="43"/>
  <c r="K18" i="43"/>
  <c r="D18" i="43"/>
  <c r="D16" i="43"/>
  <c r="D15" i="43"/>
  <c r="D11" i="43"/>
  <c r="D10" i="43"/>
  <c r="D9" i="43"/>
  <c r="D6" i="43" s="1"/>
  <c r="C28" i="43" s="1"/>
  <c r="D8" i="43"/>
  <c r="D7" i="43"/>
  <c r="M6" i="42"/>
  <c r="M7" i="42"/>
  <c r="M8" i="42"/>
  <c r="M9" i="42"/>
  <c r="M10" i="42"/>
  <c r="L17" i="42"/>
  <c r="M17" i="42" s="1"/>
  <c r="N17" i="42" s="1"/>
  <c r="L18" i="42"/>
  <c r="M18" i="42" l="1"/>
  <c r="N18" i="42" s="1"/>
  <c r="G11" i="42"/>
  <c r="C29" i="43"/>
  <c r="C30" i="43" l="1"/>
  <c r="C31" i="43" s="1"/>
  <c r="D17" i="21"/>
  <c r="D72" i="39" l="1"/>
  <c r="F88" i="38" l="1"/>
  <c r="K98" i="2"/>
  <c r="H100" i="2"/>
  <c r="J100" i="2"/>
  <c r="K100" i="2" s="1"/>
  <c r="J101" i="2"/>
  <c r="K101" i="2"/>
  <c r="K104" i="2"/>
  <c r="K108" i="2"/>
  <c r="C42" i="13"/>
  <c r="E118" i="2" s="1"/>
  <c r="K119" i="2" s="1"/>
  <c r="C40" i="13"/>
  <c r="E114" i="2" s="1"/>
  <c r="K115" i="2" s="1"/>
  <c r="C35" i="13"/>
  <c r="E107" i="2" s="1"/>
  <c r="C29" i="13"/>
  <c r="E97" i="2" s="1"/>
  <c r="K111" i="2" l="1"/>
  <c r="E109" i="2"/>
  <c r="J109" i="2" s="1"/>
  <c r="K109" i="2" s="1"/>
  <c r="J107" i="2"/>
  <c r="K107" i="2" s="1"/>
  <c r="K103" i="2"/>
  <c r="J97" i="2"/>
  <c r="K97" i="2" s="1"/>
  <c r="E99" i="2"/>
  <c r="J99" i="2" s="1"/>
  <c r="K99" i="2" s="1"/>
  <c r="AC34" i="13"/>
  <c r="AB34" i="13"/>
  <c r="AA34" i="13"/>
  <c r="Z34" i="13"/>
  <c r="Y34" i="13"/>
  <c r="X34" i="13"/>
  <c r="I34" i="13"/>
  <c r="AC33" i="13"/>
  <c r="AB33" i="13"/>
  <c r="AA33" i="13"/>
  <c r="Z33" i="13"/>
  <c r="Y33" i="13"/>
  <c r="X33" i="13"/>
  <c r="I33" i="13"/>
  <c r="AC31" i="13"/>
  <c r="AB31" i="13"/>
  <c r="AA31" i="13"/>
  <c r="Z31" i="13"/>
  <c r="Y31" i="13"/>
  <c r="X31" i="13"/>
  <c r="I31" i="13"/>
  <c r="AP30" i="13"/>
  <c r="AO30" i="13"/>
  <c r="AN30" i="13"/>
  <c r="AL30" i="13"/>
  <c r="AM30" i="13" s="1"/>
  <c r="AC30" i="13"/>
  <c r="AB30" i="13"/>
  <c r="AA30" i="13"/>
  <c r="Z30" i="13"/>
  <c r="Y30" i="13"/>
  <c r="X30" i="13"/>
  <c r="I30" i="13"/>
  <c r="AQ30" i="13" l="1"/>
  <c r="AQ31" i="13" s="1"/>
  <c r="D76" i="38" l="1"/>
  <c r="F91" i="38"/>
  <c r="F92" i="38"/>
  <c r="F90" i="38"/>
  <c r="F89" i="38"/>
  <c r="B192" i="39" l="1"/>
  <c r="B193" i="39"/>
  <c r="B194" i="39"/>
  <c r="B195" i="39"/>
  <c r="B191" i="39"/>
  <c r="B188" i="39"/>
  <c r="B185" i="39"/>
  <c r="B186" i="39"/>
  <c r="B187" i="39"/>
  <c r="B184" i="39"/>
  <c r="B178" i="39"/>
  <c r="B179" i="39"/>
  <c r="B180" i="39"/>
  <c r="B181" i="39"/>
  <c r="B177" i="39"/>
  <c r="B154" i="39"/>
  <c r="B161" i="39" s="1"/>
  <c r="B168" i="39" s="1"/>
  <c r="B155" i="39"/>
  <c r="B162" i="39" s="1"/>
  <c r="B169" i="39" s="1"/>
  <c r="B156" i="39"/>
  <c r="B163" i="39" s="1"/>
  <c r="B170" i="39" s="1"/>
  <c r="B157" i="39"/>
  <c r="B164" i="39" s="1"/>
  <c r="B171" i="39" s="1"/>
  <c r="B153" i="39"/>
  <c r="B160" i="39" s="1"/>
  <c r="B167" i="39" s="1"/>
  <c r="B148" i="39"/>
  <c r="B147" i="39"/>
  <c r="B146" i="39"/>
  <c r="B145" i="39"/>
  <c r="B144" i="39"/>
  <c r="B86" i="39"/>
  <c r="B93" i="39" s="1" a="1"/>
  <c r="B93" i="39" s="1"/>
  <c r="B85" i="39"/>
  <c r="B92" i="39" s="1" a="1"/>
  <c r="B92" i="39" s="1"/>
  <c r="B84" i="39"/>
  <c r="B91" i="39" s="1" a="1"/>
  <c r="B91" i="39" s="1"/>
  <c r="B83" i="39"/>
  <c r="B90" i="39" s="1" a="1"/>
  <c r="B90" i="39" s="1"/>
  <c r="B82" i="39"/>
  <c r="B89" i="39" s="1" a="1"/>
  <c r="B89" i="39" s="1"/>
  <c r="AJ15" i="39"/>
  <c r="AI15" i="39"/>
  <c r="AH15" i="39"/>
  <c r="AG15" i="39"/>
  <c r="AF15" i="39"/>
  <c r="AE15" i="39"/>
  <c r="AD15" i="39"/>
  <c r="AC15" i="39"/>
  <c r="AB15" i="39"/>
  <c r="AA15" i="39"/>
  <c r="Z15" i="39"/>
  <c r="Y15" i="39"/>
  <c r="X15" i="39"/>
  <c r="W15" i="39"/>
  <c r="V15" i="39"/>
  <c r="U15" i="39"/>
  <c r="T15" i="39"/>
  <c r="S15" i="39"/>
  <c r="R15" i="39"/>
  <c r="Q15" i="39"/>
  <c r="P15" i="39"/>
  <c r="O15" i="39"/>
  <c r="N15" i="39"/>
  <c r="M15" i="39"/>
  <c r="L15" i="39"/>
  <c r="K15" i="39"/>
  <c r="J15" i="39"/>
  <c r="I15" i="39"/>
  <c r="H15" i="39"/>
  <c r="G15" i="39"/>
  <c r="F15" i="39"/>
  <c r="AJ14" i="39"/>
  <c r="AI14" i="39"/>
  <c r="AH14" i="39"/>
  <c r="AG14" i="39"/>
  <c r="AF14" i="39"/>
  <c r="AE14" i="39"/>
  <c r="AD14" i="39"/>
  <c r="AC14" i="39"/>
  <c r="AB14" i="39"/>
  <c r="AA14" i="39"/>
  <c r="Z14" i="39"/>
  <c r="Y14" i="39"/>
  <c r="X14" i="39"/>
  <c r="W14" i="39"/>
  <c r="V14" i="39"/>
  <c r="U14" i="39"/>
  <c r="T14" i="39"/>
  <c r="S14" i="39"/>
  <c r="R14" i="39"/>
  <c r="Q14" i="39"/>
  <c r="P14" i="39"/>
  <c r="O14" i="39"/>
  <c r="N14" i="39"/>
  <c r="M14" i="39"/>
  <c r="L14" i="39"/>
  <c r="K14" i="39"/>
  <c r="J14" i="39"/>
  <c r="I14" i="39"/>
  <c r="H14" i="39"/>
  <c r="G14" i="39"/>
  <c r="F14" i="39"/>
  <c r="B129" i="39" l="1" a="1"/>
  <c r="B129" i="39" s="1"/>
  <c r="B120" i="39" a="1"/>
  <c r="B120" i="39" s="1"/>
  <c r="B113" i="39" s="1"/>
  <c r="B106" i="39" s="1"/>
  <c r="B125" i="39" a="1"/>
  <c r="B125" i="39" s="1"/>
  <c r="B116" i="39" a="1"/>
  <c r="B116" i="39" s="1"/>
  <c r="B109" i="39" s="1"/>
  <c r="B102" i="39" s="1"/>
  <c r="B126" i="39" a="1"/>
  <c r="B126" i="39" s="1"/>
  <c r="B117" i="39" a="1"/>
  <c r="B117" i="39" s="1"/>
  <c r="B110" i="39" s="1"/>
  <c r="B103" i="39" s="1"/>
  <c r="B127" i="39" a="1"/>
  <c r="B127" i="39" s="1"/>
  <c r="B118" i="39" a="1"/>
  <c r="B118" i="39" s="1"/>
  <c r="B111" i="39" s="1"/>
  <c r="B104" i="39" s="1"/>
  <c r="B128" i="39" a="1"/>
  <c r="B128" i="39" s="1"/>
  <c r="B119" i="39" a="1"/>
  <c r="B119" i="39" s="1"/>
  <c r="B112" i="39" s="1"/>
  <c r="B105" i="39" s="1"/>
  <c r="B136" i="39" l="1"/>
  <c r="B34" i="42"/>
  <c r="B138" i="39"/>
  <c r="B36" i="42"/>
  <c r="B137" i="39"/>
  <c r="B35" i="42"/>
  <c r="B135" i="39"/>
  <c r="B33" i="42"/>
  <c r="B139" i="39"/>
  <c r="B37" i="42"/>
  <c r="E24" i="21" l="1"/>
  <c r="E73" i="39" s="1"/>
  <c r="F24" i="21"/>
  <c r="F73" i="39" s="1"/>
  <c r="G24" i="21"/>
  <c r="G73" i="39" s="1"/>
  <c r="H24" i="21"/>
  <c r="H73" i="39" s="1"/>
  <c r="D24" i="21"/>
  <c r="D73" i="39" s="1"/>
  <c r="E17" i="21"/>
  <c r="E72" i="39" s="1"/>
  <c r="F17" i="21"/>
  <c r="F72" i="39" s="1"/>
  <c r="G17" i="21"/>
  <c r="G72" i="39" s="1"/>
  <c r="H17" i="21"/>
  <c r="H72" i="39" s="1"/>
  <c r="E68" i="39"/>
  <c r="F68" i="39"/>
  <c r="G68" i="39"/>
  <c r="H68" i="39"/>
  <c r="D68" i="39"/>
  <c r="E63" i="39"/>
  <c r="F63" i="39"/>
  <c r="G63" i="39"/>
  <c r="H63" i="39"/>
  <c r="D63" i="39"/>
  <c r="E21" i="21" l="1"/>
  <c r="E67" i="39" s="1"/>
  <c r="F21" i="21"/>
  <c r="F67" i="39" s="1"/>
  <c r="G21" i="21"/>
  <c r="G67" i="39" s="1"/>
  <c r="H21" i="21"/>
  <c r="H67" i="39" s="1"/>
  <c r="D21" i="21"/>
  <c r="D67" i="39" s="1"/>
  <c r="E14" i="21"/>
  <c r="E62" i="39" s="1"/>
  <c r="F14" i="21"/>
  <c r="F62" i="39" s="1"/>
  <c r="G14" i="21"/>
  <c r="G62" i="39" s="1"/>
  <c r="H14" i="21"/>
  <c r="H62" i="39" s="1"/>
  <c r="D14" i="21"/>
  <c r="D62" i="39" s="1"/>
  <c r="E1" i="39" a="1"/>
  <c r="D32" i="39"/>
  <c r="D30" i="39"/>
  <c r="D29" i="39"/>
  <c r="A82" i="39" a="1"/>
  <c r="A82" i="39" s="1"/>
  <c r="D6" i="39"/>
  <c r="D33" i="39" l="1"/>
  <c r="D69" i="39"/>
  <c r="E1" i="39"/>
  <c r="A200" i="39" l="1" a="1"/>
  <c r="E205" i="39" s="1"/>
  <c r="E222" i="39" l="1"/>
  <c r="E227" i="39"/>
  <c r="E202" i="39"/>
  <c r="E230" i="39"/>
  <c r="E210" i="39"/>
  <c r="E208" i="39"/>
  <c r="E214" i="39"/>
  <c r="E225" i="39"/>
  <c r="E216" i="39"/>
  <c r="E207" i="39"/>
  <c r="E228" i="39"/>
  <c r="E204" i="39"/>
  <c r="E218" i="39"/>
  <c r="E213" i="39"/>
  <c r="E226" i="39"/>
  <c r="A200" i="39"/>
  <c r="E200" i="39" s="1"/>
  <c r="Z223" i="39"/>
  <c r="Y222" i="39"/>
  <c r="AB226" i="39"/>
  <c r="AF230" i="39"/>
  <c r="H216" i="39"/>
  <c r="V222" i="39"/>
  <c r="W224" i="39"/>
  <c r="O215" i="39"/>
  <c r="P213" i="39"/>
  <c r="AC226" i="39"/>
  <c r="I208" i="39"/>
  <c r="L220" i="39"/>
  <c r="AA227" i="39"/>
  <c r="J210" i="39"/>
  <c r="Z226" i="39"/>
  <c r="V229" i="39"/>
  <c r="U216" i="39"/>
  <c r="U228" i="39"/>
  <c r="F215" i="39"/>
  <c r="G227" i="39"/>
  <c r="J209" i="39"/>
  <c r="AG201" i="39"/>
  <c r="H215" i="39"/>
  <c r="AF201" i="39"/>
  <c r="J205" i="39"/>
  <c r="I223" i="39"/>
  <c r="G223" i="39"/>
  <c r="U220" i="39"/>
  <c r="T220" i="39"/>
  <c r="Y223" i="39"/>
  <c r="W221" i="39"/>
  <c r="Q225" i="39"/>
  <c r="F205" i="39"/>
  <c r="P222" i="39"/>
  <c r="H204" i="39"/>
  <c r="P211" i="39"/>
  <c r="M224" i="39"/>
  <c r="V223" i="39"/>
  <c r="Y224" i="39"/>
  <c r="K220" i="39"/>
  <c r="AC225" i="39"/>
  <c r="L217" i="39"/>
  <c r="H221" i="39"/>
  <c r="U224" i="39"/>
  <c r="R230" i="39"/>
  <c r="N214" i="39"/>
  <c r="AI203" i="39"/>
  <c r="AB223" i="39"/>
  <c r="V230" i="39"/>
  <c r="R214" i="39"/>
  <c r="N211" i="39"/>
  <c r="O226" i="39"/>
  <c r="G216" i="39"/>
  <c r="M227" i="39"/>
  <c r="G208" i="39"/>
  <c r="L226" i="39"/>
  <c r="J228" i="39"/>
  <c r="L211" i="39"/>
  <c r="V227" i="39"/>
  <c r="AF229" i="39"/>
  <c r="K211" i="39"/>
  <c r="AH201" i="39"/>
  <c r="Q229" i="39"/>
  <c r="AG228" i="39"/>
  <c r="AF227" i="39"/>
  <c r="O211" i="39"/>
  <c r="O217" i="39"/>
  <c r="H219" i="39"/>
  <c r="H208" i="39"/>
  <c r="U229" i="39"/>
  <c r="O213" i="39"/>
  <c r="X222" i="39"/>
  <c r="H230" i="39"/>
  <c r="G212" i="39"/>
  <c r="G202" i="39"/>
  <c r="V225" i="39"/>
  <c r="J215" i="39"/>
  <c r="AA226" i="39"/>
  <c r="S225" i="39"/>
  <c r="Y226" i="39"/>
  <c r="H226" i="39"/>
  <c r="R228" i="39"/>
  <c r="J219" i="39"/>
  <c r="F227" i="39"/>
  <c r="F226" i="39"/>
  <c r="G215" i="39"/>
  <c r="Z222" i="39"/>
  <c r="M225" i="39"/>
  <c r="AA225" i="39"/>
  <c r="S222" i="39"/>
  <c r="L221" i="39"/>
  <c r="F223" i="39"/>
  <c r="N209" i="39"/>
  <c r="M217" i="39"/>
  <c r="Z225" i="39"/>
  <c r="T223" i="39"/>
  <c r="Q219" i="39"/>
  <c r="X220" i="39"/>
  <c r="V218" i="39"/>
  <c r="N210" i="39"/>
  <c r="Y230" i="39"/>
  <c r="O216" i="39"/>
  <c r="W228" i="39"/>
  <c r="M211" i="39"/>
  <c r="X230" i="39"/>
  <c r="G221" i="39"/>
  <c r="Y229" i="39"/>
  <c r="K210" i="39"/>
  <c r="G229" i="39"/>
  <c r="V224" i="39"/>
  <c r="Y220" i="39"/>
  <c r="M214" i="39"/>
  <c r="M226" i="39"/>
  <c r="S224" i="39"/>
  <c r="R224" i="39"/>
  <c r="H227" i="39"/>
  <c r="M223" i="39"/>
  <c r="U226" i="39"/>
  <c r="S216" i="39"/>
  <c r="J211" i="39"/>
  <c r="F207" i="39"/>
  <c r="AC230" i="39"/>
  <c r="AF228" i="39"/>
  <c r="I213" i="39"/>
  <c r="O222" i="39"/>
  <c r="I221" i="39"/>
  <c r="F222" i="39"/>
  <c r="G220" i="39"/>
  <c r="F218" i="39"/>
  <c r="AB224" i="39"/>
  <c r="P219" i="39"/>
  <c r="AB225" i="39"/>
  <c r="M219" i="39"/>
  <c r="N229" i="39"/>
  <c r="M229" i="39"/>
  <c r="F221" i="39"/>
  <c r="U219" i="39"/>
  <c r="T230" i="39"/>
  <c r="K230" i="39"/>
  <c r="R215" i="39"/>
  <c r="M215" i="39"/>
  <c r="I228" i="39"/>
  <c r="G210" i="39"/>
  <c r="J230" i="39"/>
  <c r="P218" i="39"/>
  <c r="K229" i="39"/>
  <c r="Q221" i="39"/>
  <c r="AA223" i="39"/>
  <c r="P212" i="39"/>
  <c r="T225" i="39"/>
  <c r="N218" i="39"/>
  <c r="Q223" i="39"/>
  <c r="I225" i="39"/>
  <c r="T216" i="39"/>
  <c r="F224" i="39"/>
  <c r="AE229" i="39"/>
  <c r="T228" i="39"/>
  <c r="R221" i="39"/>
  <c r="P229" i="39"/>
  <c r="W219" i="39"/>
  <c r="N212" i="39"/>
  <c r="N221" i="39"/>
  <c r="H205" i="39"/>
  <c r="K219" i="39"/>
  <c r="Z224" i="39"/>
  <c r="L219" i="39"/>
  <c r="K217" i="39"/>
  <c r="O210" i="39"/>
  <c r="AB229" i="39"/>
  <c r="G214" i="39"/>
  <c r="AI204" i="39"/>
  <c r="X227" i="39"/>
  <c r="F202" i="39"/>
  <c r="AA229" i="39"/>
  <c r="N216" i="39"/>
  <c r="M228" i="39"/>
  <c r="I210" i="39"/>
  <c r="W222" i="39"/>
  <c r="AH229" i="39"/>
  <c r="F210" i="39"/>
  <c r="T224" i="39"/>
  <c r="AH230" i="39"/>
  <c r="L222" i="39"/>
  <c r="O214" i="39"/>
  <c r="V221" i="39"/>
  <c r="L214" i="39"/>
  <c r="I214" i="39"/>
  <c r="Q228" i="39"/>
  <c r="K214" i="39"/>
  <c r="F225" i="39"/>
  <c r="U227" i="39"/>
  <c r="N230" i="39"/>
  <c r="O229" i="39"/>
  <c r="I204" i="39"/>
  <c r="T218" i="39"/>
  <c r="O221" i="39"/>
  <c r="Z221" i="39"/>
  <c r="J221" i="39"/>
  <c r="U222" i="39"/>
  <c r="N225" i="39"/>
  <c r="H223" i="39"/>
  <c r="T222" i="39"/>
  <c r="Q217" i="39"/>
  <c r="S218" i="39"/>
  <c r="AG230" i="39"/>
  <c r="Q215" i="39"/>
  <c r="W230" i="39"/>
  <c r="T229" i="39"/>
  <c r="R223" i="39"/>
  <c r="O220" i="39"/>
  <c r="F216" i="39"/>
  <c r="G211" i="39"/>
  <c r="AB227" i="39"/>
  <c r="AD228" i="39"/>
  <c r="AA228" i="39"/>
  <c r="M220" i="39"/>
  <c r="AD226" i="39"/>
  <c r="N222" i="39"/>
  <c r="N228" i="39"/>
  <c r="J225" i="39"/>
  <c r="Q214" i="39"/>
  <c r="F208" i="39"/>
  <c r="AD230" i="39"/>
  <c r="AA230" i="39"/>
  <c r="U221" i="39"/>
  <c r="J213" i="39"/>
  <c r="M218" i="39"/>
  <c r="P220" i="39"/>
  <c r="M209" i="39"/>
  <c r="P217" i="39"/>
  <c r="U223" i="39"/>
  <c r="G219" i="39"/>
  <c r="Q220" i="39"/>
  <c r="H220" i="39"/>
  <c r="V220" i="39"/>
  <c r="K224" i="39"/>
  <c r="F201" i="39"/>
  <c r="F204" i="39"/>
  <c r="X223" i="39"/>
  <c r="J208" i="39"/>
  <c r="J207" i="39"/>
  <c r="R219" i="39"/>
  <c r="L207" i="39"/>
  <c r="R217" i="39"/>
  <c r="AC224" i="39"/>
  <c r="AA224" i="39"/>
  <c r="O225" i="39"/>
  <c r="O224" i="39"/>
  <c r="N217" i="39"/>
  <c r="AE226" i="39"/>
  <c r="U230" i="39"/>
  <c r="L209" i="39"/>
  <c r="Q216" i="39"/>
  <c r="G225" i="39"/>
  <c r="AD225" i="39"/>
  <c r="H210" i="39"/>
  <c r="S214" i="39"/>
  <c r="X229" i="39"/>
  <c r="Y228" i="39"/>
  <c r="Q230" i="39"/>
  <c r="S228" i="39"/>
  <c r="AE228" i="39"/>
  <c r="R220" i="39"/>
  <c r="U218" i="39"/>
  <c r="M221" i="39"/>
  <c r="L210" i="39"/>
  <c r="L228" i="39"/>
  <c r="L227" i="39"/>
  <c r="Z230" i="39"/>
  <c r="AC229" i="39"/>
  <c r="H224" i="39"/>
  <c r="I206" i="39"/>
  <c r="I230" i="39"/>
  <c r="F217" i="39"/>
  <c r="W227" i="39"/>
  <c r="K216" i="39"/>
  <c r="Q213" i="39"/>
  <c r="AE230" i="39"/>
  <c r="G226" i="39"/>
  <c r="K221" i="39"/>
  <c r="W226" i="39"/>
  <c r="P228" i="39"/>
  <c r="H229" i="39"/>
  <c r="P226" i="39"/>
  <c r="T217" i="39"/>
  <c r="AC227" i="39"/>
  <c r="N223" i="39"/>
  <c r="R213" i="39"/>
  <c r="P230" i="39"/>
  <c r="S221" i="39"/>
  <c r="AD229" i="39"/>
  <c r="T215" i="39"/>
  <c r="H209" i="39"/>
  <c r="W218" i="39"/>
  <c r="N220" i="39"/>
  <c r="T226" i="39"/>
  <c r="G222" i="39"/>
  <c r="K226" i="39"/>
  <c r="I215" i="39"/>
  <c r="AH203" i="39"/>
  <c r="N227" i="39"/>
  <c r="X224" i="39"/>
  <c r="Z229" i="39"/>
  <c r="U225" i="39"/>
  <c r="S219" i="39"/>
  <c r="S223" i="39"/>
  <c r="AE227" i="39"/>
  <c r="K227" i="39"/>
  <c r="I226" i="39"/>
  <c r="W225" i="39"/>
  <c r="L216" i="39"/>
  <c r="O227" i="39"/>
  <c r="I222" i="39"/>
  <c r="F212" i="39"/>
  <c r="S217" i="39"/>
  <c r="S229" i="39"/>
  <c r="G206" i="39"/>
  <c r="F228" i="39"/>
  <c r="Y225" i="39"/>
  <c r="O219" i="39"/>
  <c r="T219" i="39"/>
  <c r="J220" i="39"/>
  <c r="J206" i="39"/>
  <c r="K206" i="39"/>
  <c r="G217" i="39"/>
  <c r="AG229" i="39"/>
  <c r="X228" i="39"/>
  <c r="M216" i="39"/>
  <c r="W229" i="39"/>
  <c r="K215" i="39"/>
  <c r="T227" i="39"/>
  <c r="L224" i="39"/>
  <c r="V226" i="39"/>
  <c r="K209" i="39"/>
  <c r="L208" i="39"/>
  <c r="X226" i="39"/>
  <c r="P224" i="39"/>
  <c r="R222" i="39"/>
  <c r="J226" i="39"/>
  <c r="M222" i="39"/>
  <c r="M213" i="39"/>
  <c r="R227" i="39"/>
  <c r="F206" i="39"/>
  <c r="R216" i="39"/>
  <c r="R229" i="39"/>
  <c r="I217" i="39"/>
  <c r="G203" i="39"/>
  <c r="AD227" i="39"/>
  <c r="AI201" i="39"/>
  <c r="G205" i="39"/>
  <c r="J222" i="39"/>
  <c r="N215" i="39"/>
  <c r="K208" i="39"/>
  <c r="I209" i="39"/>
  <c r="H218" i="39"/>
  <c r="Q227" i="39"/>
  <c r="R225" i="39"/>
  <c r="N213" i="39"/>
  <c r="S230" i="39"/>
  <c r="O218" i="39"/>
  <c r="AI230" i="39"/>
  <c r="F230" i="39"/>
  <c r="K225" i="39"/>
  <c r="O212" i="39"/>
  <c r="O230" i="39"/>
  <c r="S226" i="39"/>
  <c r="AB230" i="39"/>
  <c r="M212" i="39"/>
  <c r="R218" i="39"/>
  <c r="H206" i="39"/>
  <c r="K223" i="39"/>
  <c r="H203" i="39"/>
  <c r="V217" i="39"/>
  <c r="J224" i="39"/>
  <c r="Q218" i="39"/>
  <c r="F214" i="39"/>
  <c r="I218" i="39"/>
  <c r="P225" i="39"/>
  <c r="I212" i="39"/>
  <c r="L225" i="39"/>
  <c r="I216" i="39"/>
  <c r="AC228" i="39"/>
  <c r="H228" i="39"/>
  <c r="L229" i="39"/>
  <c r="AB228" i="39"/>
  <c r="N226" i="39"/>
  <c r="P227" i="39"/>
  <c r="U217" i="39"/>
  <c r="Q226" i="39"/>
  <c r="L215" i="39"/>
  <c r="G228" i="39"/>
  <c r="G213" i="39"/>
  <c r="Y227" i="39"/>
  <c r="P215" i="39"/>
  <c r="G230" i="39"/>
  <c r="I229" i="39"/>
  <c r="Q212" i="39"/>
  <c r="L230" i="39"/>
  <c r="H214" i="39"/>
  <c r="L213" i="39"/>
  <c r="T221" i="39"/>
  <c r="AI202" i="39"/>
  <c r="W220" i="39"/>
  <c r="N219" i="39"/>
  <c r="I207" i="39"/>
  <c r="F203" i="39"/>
  <c r="H222" i="39"/>
  <c r="L223" i="39"/>
  <c r="X225" i="39"/>
  <c r="S215" i="39"/>
  <c r="F220" i="39"/>
  <c r="F211" i="39"/>
  <c r="J214" i="39"/>
  <c r="Y221" i="39"/>
  <c r="J217" i="39"/>
  <c r="G209" i="39"/>
  <c r="J216" i="39"/>
  <c r="H211" i="39"/>
  <c r="R226" i="39"/>
  <c r="P221" i="39"/>
  <c r="K218" i="39"/>
  <c r="W223" i="39"/>
  <c r="Q224" i="39"/>
  <c r="G207" i="39"/>
  <c r="P216" i="39"/>
  <c r="K207" i="39"/>
  <c r="O223" i="39"/>
  <c r="K213" i="39"/>
  <c r="J218" i="39"/>
  <c r="I211" i="39"/>
  <c r="AA222" i="39"/>
  <c r="H217" i="39"/>
  <c r="N224" i="39"/>
  <c r="H213" i="39"/>
  <c r="I224" i="39"/>
  <c r="M210" i="39"/>
  <c r="P223" i="39"/>
  <c r="F213" i="39"/>
  <c r="J229" i="39"/>
  <c r="K228" i="39"/>
  <c r="F229" i="39"/>
  <c r="G224" i="39"/>
  <c r="H225" i="39"/>
  <c r="M230" i="39"/>
  <c r="S227" i="39"/>
  <c r="AH202" i="39"/>
  <c r="F219" i="39"/>
  <c r="J223" i="39"/>
  <c r="G218" i="39"/>
  <c r="L218" i="39"/>
  <c r="J212" i="39"/>
  <c r="J227" i="39"/>
  <c r="X219" i="39"/>
  <c r="F209" i="39"/>
  <c r="K222" i="39"/>
  <c r="H212" i="39"/>
  <c r="Z228" i="39"/>
  <c r="Z227" i="39"/>
  <c r="I227" i="39"/>
  <c r="I219" i="39"/>
  <c r="L212" i="39"/>
  <c r="V219" i="39"/>
  <c r="AG202" i="39"/>
  <c r="G204" i="39"/>
  <c r="V228" i="39"/>
  <c r="O228" i="39"/>
  <c r="P214" i="39"/>
  <c r="K212" i="39"/>
  <c r="I220" i="39"/>
  <c r="S220" i="39"/>
  <c r="X221" i="39"/>
  <c r="H207" i="39"/>
  <c r="Q222" i="39"/>
  <c r="M208" i="39"/>
  <c r="I205" i="39"/>
  <c r="E206" i="39"/>
  <c r="E223" i="39"/>
  <c r="E217" i="39"/>
  <c r="E224" i="39"/>
  <c r="E211" i="39"/>
  <c r="E219" i="39"/>
  <c r="E215" i="39"/>
  <c r="E201" i="39"/>
  <c r="E203" i="39"/>
  <c r="E209" i="39"/>
  <c r="E212" i="39"/>
  <c r="E220" i="39"/>
  <c r="E229" i="39"/>
  <c r="E221" i="39"/>
  <c r="AG200" i="39" l="1"/>
  <c r="AH200" i="39"/>
  <c r="AF200" i="39"/>
  <c r="AI200" i="39"/>
  <c r="AE200" i="39"/>
  <c r="E232" i="39"/>
  <c r="F15" i="37" l="1"/>
  <c r="E236" i="39"/>
  <c r="B32" i="37" l="1"/>
  <c r="B29" i="37"/>
  <c r="F28" i="37" l="1" a="1"/>
  <c r="F28" i="37" s="1"/>
  <c r="F20" i="37" a="1"/>
  <c r="F20" i="37" s="1"/>
  <c r="D7" i="21" l="1"/>
  <c r="E7" i="21"/>
  <c r="F7" i="21"/>
  <c r="G7" i="21"/>
  <c r="H7" i="21"/>
  <c r="C50" i="2" l="1"/>
  <c r="C51" i="2"/>
  <c r="L53" i="2"/>
  <c r="Q22" i="3" l="1" a="1"/>
  <c r="Q22" i="3" s="1"/>
  <c r="L19" i="19"/>
  <c r="K19" i="19"/>
  <c r="C68" i="19"/>
  <c r="C26" i="19" l="1"/>
  <c r="L18" i="19"/>
  <c r="K18" i="19"/>
  <c r="R23" i="3" a="1"/>
  <c r="R23" i="3" s="1"/>
  <c r="R24" i="3" a="1"/>
  <c r="R24" i="3" s="1"/>
  <c r="R25" i="3" a="1"/>
  <c r="R25" i="3" s="1"/>
  <c r="R26" i="3" a="1"/>
  <c r="R26" i="3" s="1"/>
  <c r="R27" i="3" a="1"/>
  <c r="R27" i="3" s="1"/>
  <c r="R28" i="3" a="1"/>
  <c r="R28" i="3" s="1"/>
  <c r="R29" i="3" a="1"/>
  <c r="R29" i="3" s="1"/>
  <c r="R30" i="3" a="1"/>
  <c r="R30" i="3" s="1"/>
  <c r="R31" i="3" a="1"/>
  <c r="R31" i="3" s="1"/>
  <c r="R32" i="3" a="1"/>
  <c r="R32" i="3" s="1"/>
  <c r="R22" i="3" a="1"/>
  <c r="R22" i="3" s="1"/>
  <c r="Q23" i="3" a="1"/>
  <c r="Q23" i="3" s="1"/>
  <c r="Q24" i="3" a="1"/>
  <c r="Q24" i="3" s="1"/>
  <c r="Q25" i="3" a="1"/>
  <c r="Q25" i="3" s="1"/>
  <c r="Q26" i="3" a="1"/>
  <c r="Q26" i="3" s="1"/>
  <c r="Q27" i="3" a="1"/>
  <c r="Q27" i="3" s="1"/>
  <c r="Q28" i="3" a="1"/>
  <c r="Q28" i="3" s="1"/>
  <c r="Q29" i="3" a="1"/>
  <c r="Q29" i="3" s="1"/>
  <c r="Q30" i="3" a="1"/>
  <c r="Q30" i="3" s="1"/>
  <c r="Q31" i="3" a="1"/>
  <c r="Q31" i="3" s="1"/>
  <c r="Q32" i="3" a="1"/>
  <c r="Q32" i="3" s="1"/>
  <c r="N30" i="3"/>
  <c r="N31" i="3"/>
  <c r="N32" i="3"/>
  <c r="M32" i="3"/>
  <c r="M31" i="3"/>
  <c r="M30" i="3"/>
  <c r="M29" i="3"/>
  <c r="N29" i="3" s="1"/>
  <c r="M28" i="3"/>
  <c r="N28" i="3" s="1"/>
  <c r="M27" i="3"/>
  <c r="N27" i="3" s="1"/>
  <c r="N25" i="3"/>
  <c r="N26" i="3"/>
  <c r="M26" i="3"/>
  <c r="M25" i="3"/>
  <c r="N23" i="3"/>
  <c r="N24" i="3"/>
  <c r="N22" i="3"/>
  <c r="M24" i="3"/>
  <c r="M23" i="3"/>
  <c r="M22" i="3"/>
  <c r="L32" i="3"/>
  <c r="L31" i="3"/>
  <c r="L30" i="3"/>
  <c r="L29" i="3"/>
  <c r="L28" i="3"/>
  <c r="L27" i="3"/>
  <c r="L26" i="3"/>
  <c r="L25" i="3"/>
  <c r="L24" i="3"/>
  <c r="L23" i="3"/>
  <c r="L22" i="3"/>
  <c r="C56" i="19"/>
  <c r="C58" i="19" s="1"/>
  <c r="Q33" i="3" l="1"/>
  <c r="Q34" i="3" s="1"/>
  <c r="R33" i="3"/>
  <c r="R34" i="3" s="1"/>
  <c r="C4" i="13"/>
  <c r="J32" i="13" l="1"/>
  <c r="J33" i="13"/>
  <c r="J34" i="13"/>
  <c r="J30" i="13"/>
  <c r="J31" i="13"/>
  <c r="AP43" i="13" l="1"/>
  <c r="AO43" i="13"/>
  <c r="AN43" i="13"/>
  <c r="AL43" i="13"/>
  <c r="AC43" i="13"/>
  <c r="AB43" i="13"/>
  <c r="AA43" i="13"/>
  <c r="Z43" i="13"/>
  <c r="Y43" i="13"/>
  <c r="X43" i="13"/>
  <c r="I43" i="13"/>
  <c r="AP41" i="13"/>
  <c r="AO41" i="13"/>
  <c r="AN41" i="13"/>
  <c r="AL41" i="13"/>
  <c r="AC41" i="13"/>
  <c r="AB41" i="13"/>
  <c r="AA41" i="13"/>
  <c r="Z41" i="13"/>
  <c r="Y41" i="13"/>
  <c r="X41" i="13"/>
  <c r="I41" i="13"/>
  <c r="AM43" i="13" l="1"/>
  <c r="AQ43" i="13" s="1"/>
  <c r="AM41" i="13"/>
  <c r="AQ41" i="13" s="1"/>
  <c r="F88" i="2" l="1"/>
  <c r="F20" i="2"/>
  <c r="G44" i="13" l="1"/>
  <c r="F44" i="13"/>
  <c r="E44" i="13"/>
  <c r="D44" i="13"/>
  <c r="C44" i="13"/>
  <c r="AC38" i="13"/>
  <c r="AB38" i="13"/>
  <c r="AA38" i="13"/>
  <c r="Z38" i="13"/>
  <c r="Y38" i="13"/>
  <c r="X38" i="13"/>
  <c r="I38" i="13"/>
  <c r="AC39" i="13"/>
  <c r="AB39" i="13"/>
  <c r="AA39" i="13"/>
  <c r="Z39" i="13"/>
  <c r="Y39" i="13"/>
  <c r="X39" i="13"/>
  <c r="I39" i="13"/>
  <c r="AC37" i="13"/>
  <c r="AB37" i="13"/>
  <c r="AA37" i="13"/>
  <c r="Z37" i="13"/>
  <c r="Y37" i="13"/>
  <c r="X37" i="13"/>
  <c r="I37" i="13"/>
  <c r="AC36" i="13"/>
  <c r="AB36" i="13"/>
  <c r="AA36" i="13"/>
  <c r="Z36" i="13"/>
  <c r="Y36" i="13"/>
  <c r="X36" i="13"/>
  <c r="I36" i="13"/>
  <c r="J36" i="13" s="1"/>
  <c r="C19" i="13"/>
  <c r="C11" i="13"/>
  <c r="C10" i="13"/>
  <c r="C9" i="13"/>
  <c r="C8" i="13"/>
  <c r="C5" i="13"/>
  <c r="W32" i="13" l="1"/>
  <c r="AD32" i="13" s="1"/>
  <c r="K32" i="13"/>
  <c r="L32" i="13" s="1"/>
  <c r="M32" i="13" s="1"/>
  <c r="W31" i="13"/>
  <c r="AD31" i="13" s="1"/>
  <c r="W30" i="13"/>
  <c r="AD30" i="13" s="1"/>
  <c r="W34" i="13"/>
  <c r="AD34" i="13" s="1"/>
  <c r="W33" i="13"/>
  <c r="AD33" i="13" s="1"/>
  <c r="K30" i="13"/>
  <c r="L30" i="13" s="1"/>
  <c r="M30" i="13" s="1"/>
  <c r="K34" i="13"/>
  <c r="L34" i="13" s="1"/>
  <c r="M34" i="13" s="1"/>
  <c r="K33" i="13"/>
  <c r="L33" i="13" s="1"/>
  <c r="M33" i="13" s="1"/>
  <c r="K31" i="13"/>
  <c r="L31" i="13" s="1"/>
  <c r="M31" i="13" s="1"/>
  <c r="K36" i="13"/>
  <c r="J43" i="13"/>
  <c r="K43" i="13" s="1"/>
  <c r="W37" i="13"/>
  <c r="AD37" i="13" s="1"/>
  <c r="W43" i="13"/>
  <c r="AD43" i="13" s="1"/>
  <c r="W36" i="13"/>
  <c r="AD36" i="13" s="1"/>
  <c r="W41" i="13"/>
  <c r="AD41" i="13" s="1"/>
  <c r="J41" i="13"/>
  <c r="K41" i="13" s="1"/>
  <c r="AB44" i="13"/>
  <c r="W38" i="13"/>
  <c r="AD38" i="13" s="1"/>
  <c r="X44" i="13"/>
  <c r="Y44" i="13"/>
  <c r="J38" i="13"/>
  <c r="K38" i="13" s="1"/>
  <c r="L38" i="13" s="1"/>
  <c r="M38" i="13" s="1"/>
  <c r="H44" i="13"/>
  <c r="Z44" i="13"/>
  <c r="W39" i="13"/>
  <c r="AD39" i="13" s="1"/>
  <c r="AA44" i="13"/>
  <c r="J39" i="13"/>
  <c r="K39" i="13" s="1"/>
  <c r="AC44" i="13"/>
  <c r="J37" i="13"/>
  <c r="Q32" i="13" l="1"/>
  <c r="P32" i="13"/>
  <c r="O32" i="13"/>
  <c r="N32" i="13"/>
  <c r="R32" i="13" s="1"/>
  <c r="P33" i="13"/>
  <c r="Q33" i="13"/>
  <c r="O33" i="13"/>
  <c r="N33" i="13"/>
  <c r="Q30" i="13"/>
  <c r="P30" i="13"/>
  <c r="O30" i="13"/>
  <c r="N30" i="13"/>
  <c r="N34" i="13"/>
  <c r="P34" i="13"/>
  <c r="Q34" i="13"/>
  <c r="O34" i="13"/>
  <c r="Q31" i="13"/>
  <c r="N31" i="13"/>
  <c r="P31" i="13"/>
  <c r="O31" i="13"/>
  <c r="L43" i="13"/>
  <c r="M43" i="13" s="1"/>
  <c r="L41" i="13"/>
  <c r="M41" i="13" s="1"/>
  <c r="K37" i="13"/>
  <c r="L37" i="13" s="1"/>
  <c r="M37" i="13" s="1"/>
  <c r="L36" i="13"/>
  <c r="Q38" i="13"/>
  <c r="O38" i="13"/>
  <c r="P38" i="13"/>
  <c r="N38" i="13"/>
  <c r="AD44" i="13"/>
  <c r="W44" i="13"/>
  <c r="L39" i="13"/>
  <c r="M39" i="13" s="1"/>
  <c r="T34" i="13" l="1"/>
  <c r="S32" i="13"/>
  <c r="T32" i="13"/>
  <c r="U32" i="13"/>
  <c r="T31" i="13"/>
  <c r="R33" i="13"/>
  <c r="U38" i="13"/>
  <c r="S31" i="13"/>
  <c r="S30" i="13"/>
  <c r="R31" i="13"/>
  <c r="S34" i="13"/>
  <c r="U34" i="13"/>
  <c r="R34" i="13"/>
  <c r="S33" i="13"/>
  <c r="T30" i="13"/>
  <c r="U30" i="13"/>
  <c r="U31" i="13"/>
  <c r="T33" i="13"/>
  <c r="R30" i="13"/>
  <c r="U33" i="13"/>
  <c r="M36" i="13"/>
  <c r="Q36" i="13" s="1"/>
  <c r="Q43" i="13"/>
  <c r="P43" i="13"/>
  <c r="N43" i="13"/>
  <c r="O43" i="13"/>
  <c r="P37" i="13"/>
  <c r="Q37" i="13"/>
  <c r="O37" i="13"/>
  <c r="N37" i="13"/>
  <c r="P41" i="13"/>
  <c r="O41" i="13"/>
  <c r="N41" i="13"/>
  <c r="Q41" i="13"/>
  <c r="O39" i="13"/>
  <c r="Q39" i="13"/>
  <c r="P39" i="13"/>
  <c r="N39" i="13"/>
  <c r="T38" i="13"/>
  <c r="R38" i="13"/>
  <c r="S38" i="13"/>
  <c r="V32" i="13" l="1"/>
  <c r="AE32" i="13" s="1"/>
  <c r="V31" i="13"/>
  <c r="V30" i="13"/>
  <c r="AE30" i="13" s="1"/>
  <c r="AG30" i="13" s="1"/>
  <c r="AH30" i="13" s="1"/>
  <c r="O36" i="13"/>
  <c r="O44" i="13" s="1"/>
  <c r="M44" i="13"/>
  <c r="V33" i="13"/>
  <c r="AE33" i="13" s="1"/>
  <c r="AF33" i="13" s="1"/>
  <c r="AE31" i="13"/>
  <c r="AG31" i="13" s="1"/>
  <c r="AH31" i="13" s="1"/>
  <c r="V34" i="13"/>
  <c r="AE34" i="13" s="1"/>
  <c r="P36" i="13"/>
  <c r="P44" i="13" s="1"/>
  <c r="N36" i="13"/>
  <c r="U36" i="13" s="1"/>
  <c r="S39" i="13"/>
  <c r="S37" i="13"/>
  <c r="T43" i="13"/>
  <c r="V38" i="13"/>
  <c r="AE38" i="13" s="1"/>
  <c r="AG38" i="13" s="1"/>
  <c r="AH38" i="13" s="1"/>
  <c r="U41" i="13"/>
  <c r="U43" i="13"/>
  <c r="S41" i="13"/>
  <c r="R43" i="13"/>
  <c r="T41" i="13"/>
  <c r="R37" i="13"/>
  <c r="S43" i="13"/>
  <c r="U37" i="13"/>
  <c r="R41" i="13"/>
  <c r="Q44" i="13"/>
  <c r="T37" i="13"/>
  <c r="R39" i="13"/>
  <c r="T39" i="13"/>
  <c r="U39" i="13"/>
  <c r="AG32" i="13" l="1"/>
  <c r="AH32" i="13" s="1"/>
  <c r="AF32" i="13"/>
  <c r="AF31" i="13"/>
  <c r="N44" i="13"/>
  <c r="S36" i="13"/>
  <c r="S44" i="13" s="1"/>
  <c r="T36" i="13"/>
  <c r="T44" i="13" s="1"/>
  <c r="AG33" i="13"/>
  <c r="AH33" i="13" s="1"/>
  <c r="R36" i="13"/>
  <c r="R44" i="13" s="1"/>
  <c r="AG34" i="13"/>
  <c r="AH34" i="13" s="1"/>
  <c r="AF34" i="13"/>
  <c r="AF30" i="13"/>
  <c r="AF38" i="13"/>
  <c r="V41" i="13"/>
  <c r="AE41" i="13" s="1"/>
  <c r="AF41" i="13" s="1"/>
  <c r="V43" i="13"/>
  <c r="AE43" i="13" s="1"/>
  <c r="U44" i="13"/>
  <c r="V37" i="13"/>
  <c r="AE37" i="13" s="1"/>
  <c r="V39" i="13"/>
  <c r="AE39" i="13" s="1"/>
  <c r="AF39" i="13" s="1"/>
  <c r="AH29" i="13" l="1"/>
  <c r="AG29" i="13"/>
  <c r="K102" i="2" s="1"/>
  <c r="K96" i="2" s="1"/>
  <c r="V36" i="13"/>
  <c r="AE36" i="13" s="1"/>
  <c r="AF36" i="13" s="1"/>
  <c r="AG41" i="13"/>
  <c r="AH41" i="13" s="1"/>
  <c r="AG43" i="13"/>
  <c r="AF43" i="13"/>
  <c r="AG39" i="13"/>
  <c r="AH39" i="13" s="1"/>
  <c r="AG37" i="13"/>
  <c r="AF37" i="13"/>
  <c r="D52" i="38" l="1"/>
  <c r="V44" i="13"/>
  <c r="AH37" i="13"/>
  <c r="AH40" i="13"/>
  <c r="AG40" i="13"/>
  <c r="K114" i="2" s="1"/>
  <c r="K113" i="2" s="1"/>
  <c r="D75" i="38" s="1"/>
  <c r="AH43" i="13"/>
  <c r="AH42" i="13" s="1"/>
  <c r="AG42" i="13"/>
  <c r="K118" i="2" s="1"/>
  <c r="K117" i="2" s="1"/>
  <c r="AE44" i="13"/>
  <c r="AF44" i="13" s="1"/>
  <c r="AG36" i="13"/>
  <c r="AG35" i="13" s="1"/>
  <c r="K110" i="2" s="1"/>
  <c r="K106" i="2" s="1"/>
  <c r="AG44" i="13" l="1"/>
  <c r="D85" i="38"/>
  <c r="AH36" i="13"/>
  <c r="AH44" i="13" s="1"/>
  <c r="AH35" i="13" l="1"/>
  <c r="D65" i="38" s="1"/>
  <c r="NJ6" i="9" l="1"/>
  <c r="A6" i="9"/>
  <c r="NN4" i="9"/>
  <c r="NM4" i="9"/>
  <c r="NL4" i="9"/>
  <c r="NK4" i="9"/>
  <c r="NK5" i="9" s="1"/>
  <c r="NJ4" i="9"/>
  <c r="NI4" i="9"/>
  <c r="NH4" i="9"/>
  <c r="NG4" i="9"/>
  <c r="NF4" i="9"/>
  <c r="NE4" i="9"/>
  <c r="ND4" i="9"/>
  <c r="NC4" i="9"/>
  <c r="NB4" i="9"/>
  <c r="NA4" i="9"/>
  <c r="MZ4" i="9"/>
  <c r="MY4" i="9"/>
  <c r="MX4" i="9"/>
  <c r="MW4" i="9"/>
  <c r="MV4" i="9"/>
  <c r="MU4" i="9"/>
  <c r="MT4" i="9"/>
  <c r="MS4" i="9"/>
  <c r="MR4" i="9"/>
  <c r="MQ4" i="9"/>
  <c r="MP4" i="9"/>
  <c r="MO4" i="9"/>
  <c r="MN4" i="9"/>
  <c r="MM4" i="9"/>
  <c r="ML4" i="9"/>
  <c r="MK4" i="9"/>
  <c r="MJ4" i="9"/>
  <c r="MI4" i="9"/>
  <c r="MH4" i="9"/>
  <c r="MG4" i="9"/>
  <c r="MF4" i="9"/>
  <c r="ME4" i="9"/>
  <c r="MD4" i="9"/>
  <c r="MC4" i="9"/>
  <c r="MB4" i="9"/>
  <c r="MA4" i="9"/>
  <c r="LZ4" i="9"/>
  <c r="LY4" i="9"/>
  <c r="LX4" i="9"/>
  <c r="LW4" i="9"/>
  <c r="LV4" i="9"/>
  <c r="LU4" i="9"/>
  <c r="LT4" i="9"/>
  <c r="LS4" i="9"/>
  <c r="LR4" i="9"/>
  <c r="LQ4" i="9"/>
  <c r="LP4" i="9"/>
  <c r="LO4" i="9"/>
  <c r="LN4" i="9"/>
  <c r="LM4" i="9"/>
  <c r="LL4" i="9"/>
  <c r="LK4" i="9"/>
  <c r="LJ4" i="9"/>
  <c r="LI4" i="9"/>
  <c r="LH4" i="9"/>
  <c r="LG4" i="9"/>
  <c r="LF4" i="9"/>
  <c r="LE4" i="9"/>
  <c r="LD4" i="9"/>
  <c r="LC4" i="9"/>
  <c r="LB4" i="9"/>
  <c r="LA4" i="9"/>
  <c r="KZ4" i="9"/>
  <c r="KY4" i="9"/>
  <c r="KX4" i="9"/>
  <c r="KW4" i="9"/>
  <c r="KV4" i="9"/>
  <c r="KU4" i="9"/>
  <c r="KT4" i="9"/>
  <c r="KS4" i="9"/>
  <c r="KR4" i="9"/>
  <c r="KQ4" i="9"/>
  <c r="KP4" i="9"/>
  <c r="KO4" i="9"/>
  <c r="KN4" i="9"/>
  <c r="KM4" i="9"/>
  <c r="KL4" i="9"/>
  <c r="KK4" i="9"/>
  <c r="KJ4" i="9"/>
  <c r="KI4" i="9"/>
  <c r="KH4" i="9"/>
  <c r="KG4" i="9"/>
  <c r="KF4" i="9"/>
  <c r="KE4" i="9"/>
  <c r="KD4" i="9"/>
  <c r="KC4" i="9"/>
  <c r="KB4" i="9"/>
  <c r="KA4" i="9"/>
  <c r="JZ4" i="9"/>
  <c r="JY4" i="9"/>
  <c r="JX4" i="9"/>
  <c r="JW4" i="9"/>
  <c r="JV4" i="9"/>
  <c r="JU4" i="9"/>
  <c r="JT4" i="9"/>
  <c r="JS4" i="9"/>
  <c r="JR4" i="9"/>
  <c r="JQ4" i="9"/>
  <c r="JP4" i="9"/>
  <c r="JO4" i="9"/>
  <c r="JN4" i="9"/>
  <c r="JM4" i="9"/>
  <c r="JL4" i="9"/>
  <c r="JK4" i="9"/>
  <c r="JJ4" i="9"/>
  <c r="JI4" i="9"/>
  <c r="JH4" i="9"/>
  <c r="JG4" i="9"/>
  <c r="JF4" i="9"/>
  <c r="JE4" i="9"/>
  <c r="JD4" i="9"/>
  <c r="JC4" i="9"/>
  <c r="JB4" i="9"/>
  <c r="JA4" i="9"/>
  <c r="IZ4" i="9"/>
  <c r="IY4" i="9"/>
  <c r="IX4" i="9"/>
  <c r="IW4" i="9"/>
  <c r="IV4" i="9"/>
  <c r="IU4" i="9"/>
  <c r="IT4" i="9"/>
  <c r="IS4" i="9"/>
  <c r="IR4" i="9"/>
  <c r="IQ4" i="9"/>
  <c r="IP4" i="9"/>
  <c r="IO4" i="9"/>
  <c r="IN4" i="9"/>
  <c r="IM4" i="9"/>
  <c r="IL4" i="9"/>
  <c r="IK4" i="9"/>
  <c r="IJ4" i="9"/>
  <c r="II4" i="9"/>
  <c r="IH4" i="9"/>
  <c r="IG4" i="9"/>
  <c r="IF4" i="9"/>
  <c r="IE4" i="9"/>
  <c r="ID4" i="9"/>
  <c r="IC4" i="9"/>
  <c r="IB4" i="9"/>
  <c r="IA4" i="9"/>
  <c r="HZ4" i="9"/>
  <c r="HY4" i="9"/>
  <c r="HX4" i="9"/>
  <c r="HW4" i="9"/>
  <c r="HV4" i="9"/>
  <c r="HU4" i="9"/>
  <c r="HT4" i="9"/>
  <c r="HS4" i="9"/>
  <c r="HR4" i="9"/>
  <c r="HQ4" i="9"/>
  <c r="HP4" i="9"/>
  <c r="HO4" i="9"/>
  <c r="HN4" i="9"/>
  <c r="HM4" i="9"/>
  <c r="HL4" i="9"/>
  <c r="HK4" i="9"/>
  <c r="HJ4" i="9"/>
  <c r="HI4" i="9"/>
  <c r="HH4" i="9"/>
  <c r="HG4" i="9"/>
  <c r="HF4" i="9"/>
  <c r="HE4" i="9"/>
  <c r="HD4" i="9"/>
  <c r="HC4" i="9"/>
  <c r="HB4" i="9"/>
  <c r="HA4" i="9"/>
  <c r="GZ4" i="9"/>
  <c r="GY4" i="9"/>
  <c r="GX4" i="9"/>
  <c r="GW4" i="9"/>
  <c r="GV4" i="9"/>
  <c r="GU4" i="9"/>
  <c r="GT4" i="9"/>
  <c r="GS4" i="9"/>
  <c r="GR4" i="9"/>
  <c r="GQ4" i="9"/>
  <c r="GP4" i="9"/>
  <c r="GO4" i="9"/>
  <c r="GN4" i="9"/>
  <c r="GM4" i="9"/>
  <c r="GL4" i="9"/>
  <c r="GK4" i="9"/>
  <c r="GJ4" i="9"/>
  <c r="GI4" i="9"/>
  <c r="GH4" i="9"/>
  <c r="GG4" i="9"/>
  <c r="GF4" i="9"/>
  <c r="GE4" i="9"/>
  <c r="GD4" i="9"/>
  <c r="GC4" i="9"/>
  <c r="GB4" i="9"/>
  <c r="GA4" i="9"/>
  <c r="FZ4" i="9"/>
  <c r="FY4" i="9"/>
  <c r="FX4" i="9"/>
  <c r="FW4" i="9"/>
  <c r="FV4" i="9"/>
  <c r="FU4" i="9"/>
  <c r="FT4" i="9"/>
  <c r="FS4" i="9"/>
  <c r="FR4" i="9"/>
  <c r="FQ4" i="9"/>
  <c r="FP4" i="9"/>
  <c r="FO4" i="9"/>
  <c r="FN4" i="9"/>
  <c r="FM4" i="9"/>
  <c r="FL4" i="9"/>
  <c r="FK4" i="9"/>
  <c r="FJ4" i="9"/>
  <c r="FI4" i="9"/>
  <c r="FH4" i="9"/>
  <c r="FG4" i="9"/>
  <c r="FF4" i="9"/>
  <c r="FE4" i="9"/>
  <c r="FD4" i="9"/>
  <c r="FC4" i="9"/>
  <c r="FB4" i="9"/>
  <c r="FA4" i="9"/>
  <c r="EZ4" i="9"/>
  <c r="EY4" i="9"/>
  <c r="EX4" i="9"/>
  <c r="EW4" i="9"/>
  <c r="EV4" i="9"/>
  <c r="EU4" i="9"/>
  <c r="ET4" i="9"/>
  <c r="ES4" i="9"/>
  <c r="ER4" i="9"/>
  <c r="EQ4" i="9"/>
  <c r="EP4" i="9"/>
  <c r="EO4" i="9"/>
  <c r="EN4" i="9"/>
  <c r="EM4" i="9"/>
  <c r="EL4" i="9"/>
  <c r="EK4" i="9"/>
  <c r="EJ4" i="9"/>
  <c r="EI4" i="9"/>
  <c r="EH4" i="9"/>
  <c r="EG4" i="9"/>
  <c r="EF4" i="9"/>
  <c r="EE4" i="9"/>
  <c r="ED4" i="9"/>
  <c r="EC4" i="9"/>
  <c r="EB4" i="9"/>
  <c r="EA4" i="9"/>
  <c r="DZ4" i="9"/>
  <c r="DY4" i="9"/>
  <c r="DX4" i="9"/>
  <c r="DW4" i="9"/>
  <c r="DV4" i="9"/>
  <c r="DU4" i="9"/>
  <c r="DT4" i="9"/>
  <c r="DS4" i="9"/>
  <c r="DR4" i="9"/>
  <c r="DQ4" i="9"/>
  <c r="DP4" i="9"/>
  <c r="DO4" i="9"/>
  <c r="DN4" i="9"/>
  <c r="DM4" i="9"/>
  <c r="DL4" i="9"/>
  <c r="DK4" i="9"/>
  <c r="DJ4" i="9"/>
  <c r="DI4" i="9"/>
  <c r="DH4" i="9"/>
  <c r="DG4" i="9"/>
  <c r="DF4" i="9"/>
  <c r="DE4" i="9"/>
  <c r="DD4" i="9"/>
  <c r="DC4" i="9"/>
  <c r="DB4" i="9"/>
  <c r="DA4" i="9"/>
  <c r="CZ4" i="9"/>
  <c r="CY4" i="9"/>
  <c r="CX4" i="9"/>
  <c r="CW4" i="9"/>
  <c r="CV4" i="9"/>
  <c r="CU4" i="9"/>
  <c r="CT4" i="9"/>
  <c r="CS4" i="9"/>
  <c r="CR4" i="9"/>
  <c r="CQ4" i="9"/>
  <c r="CP4" i="9"/>
  <c r="CO4" i="9"/>
  <c r="CN4" i="9"/>
  <c r="CM4" i="9"/>
  <c r="CL4" i="9"/>
  <c r="CK4" i="9"/>
  <c r="CJ4" i="9"/>
  <c r="CI4" i="9"/>
  <c r="CH4" i="9"/>
  <c r="CG4" i="9"/>
  <c r="CF4" i="9"/>
  <c r="CE4" i="9"/>
  <c r="CD4" i="9"/>
  <c r="CC4" i="9"/>
  <c r="CB4" i="9"/>
  <c r="CA4" i="9"/>
  <c r="BZ4" i="9"/>
  <c r="BY4" i="9"/>
  <c r="BX4" i="9"/>
  <c r="BW4" i="9"/>
  <c r="BV4" i="9"/>
  <c r="BU4" i="9"/>
  <c r="BT4" i="9"/>
  <c r="BS4" i="9"/>
  <c r="BR4" i="9"/>
  <c r="BQ4" i="9"/>
  <c r="BP4" i="9"/>
  <c r="BO4" i="9"/>
  <c r="BN4" i="9"/>
  <c r="BM4" i="9"/>
  <c r="BL4" i="9"/>
  <c r="BK4" i="9"/>
  <c r="BJ4" i="9"/>
  <c r="BI4" i="9"/>
  <c r="BH4" i="9"/>
  <c r="BG4" i="9"/>
  <c r="BF4" i="9"/>
  <c r="BE4" i="9"/>
  <c r="BD4" i="9"/>
  <c r="BC4" i="9"/>
  <c r="BB4" i="9"/>
  <c r="BA4" i="9"/>
  <c r="AZ4" i="9"/>
  <c r="AY4" i="9"/>
  <c r="AX4" i="9"/>
  <c r="AW4" i="9"/>
  <c r="AV4" i="9"/>
  <c r="AU4" i="9"/>
  <c r="AT4" i="9"/>
  <c r="AS4" i="9"/>
  <c r="AR4" i="9"/>
  <c r="AQ4" i="9"/>
  <c r="AP4" i="9"/>
  <c r="AO4" i="9"/>
  <c r="AN4" i="9"/>
  <c r="AM4" i="9"/>
  <c r="AL4" i="9"/>
  <c r="AK4" i="9"/>
  <c r="AJ4" i="9"/>
  <c r="AI4" i="9"/>
  <c r="AH4" i="9"/>
  <c r="AG4" i="9"/>
  <c r="AF4" i="9"/>
  <c r="AE4" i="9"/>
  <c r="AD4" i="9"/>
  <c r="AC4" i="9"/>
  <c r="AB4" i="9"/>
  <c r="AA4" i="9"/>
  <c r="Z4" i="9"/>
  <c r="Y4" i="9"/>
  <c r="X4" i="9"/>
  <c r="W4" i="9"/>
  <c r="V4" i="9"/>
  <c r="U4" i="9"/>
  <c r="T4" i="9"/>
  <c r="S4" i="9"/>
  <c r="R4" i="9"/>
  <c r="Q4" i="9"/>
  <c r="P4" i="9"/>
  <c r="O4" i="9"/>
  <c r="N4" i="9"/>
  <c r="M4" i="9"/>
  <c r="L4" i="9"/>
  <c r="K4" i="9"/>
  <c r="J4" i="9"/>
  <c r="I4" i="9"/>
  <c r="OI3" i="9"/>
  <c r="OI4" i="9" s="1"/>
  <c r="OH3" i="9"/>
  <c r="OH4" i="9" s="1"/>
  <c r="OG3" i="9"/>
  <c r="OG4" i="9" s="1"/>
  <c r="OF3" i="9"/>
  <c r="OF4" i="9" s="1"/>
  <c r="OE3" i="9"/>
  <c r="OE4" i="9" s="1"/>
  <c r="OD3" i="9"/>
  <c r="OD4" i="9" s="1"/>
  <c r="OC3" i="9"/>
  <c r="OC4" i="9" s="1"/>
  <c r="OB3" i="9"/>
  <c r="OB4" i="9" s="1"/>
  <c r="OA3" i="9"/>
  <c r="OA4" i="9" s="1"/>
  <c r="NZ3" i="9"/>
  <c r="NZ4" i="9" s="1"/>
  <c r="NY3" i="9"/>
  <c r="NY4" i="9" s="1"/>
  <c r="NX3" i="9"/>
  <c r="NX4" i="9" s="1"/>
  <c r="NW3" i="9"/>
  <c r="NW4" i="9" s="1"/>
  <c r="NV3" i="9"/>
  <c r="NV4" i="9" s="1"/>
  <c r="NU3" i="9"/>
  <c r="NU4" i="9" s="1"/>
  <c r="NT3" i="9"/>
  <c r="NT4" i="9" s="1"/>
  <c r="NS3" i="9"/>
  <c r="NS4" i="9" s="1"/>
  <c r="NR3" i="9"/>
  <c r="NR4" i="9" s="1"/>
  <c r="NQ3" i="9"/>
  <c r="NQ4" i="9" s="1"/>
  <c r="NP3" i="9"/>
  <c r="NP4" i="9" s="1"/>
  <c r="NO3" i="9"/>
  <c r="NO4" i="9" s="1"/>
  <c r="J1" i="9"/>
  <c r="K1" i="9" s="1"/>
  <c r="NL5" i="9" l="1"/>
  <c r="NM5" i="9" s="1"/>
  <c r="NN5" i="9" s="1"/>
  <c r="NO5" i="9" s="1"/>
  <c r="NP5" i="9" s="1"/>
  <c r="NQ5" i="9" s="1"/>
  <c r="NR5" i="9" s="1"/>
  <c r="NS5" i="9" s="1"/>
  <c r="NT5" i="9" s="1"/>
  <c r="NU5" i="9" s="1"/>
  <c r="NV5" i="9" s="1"/>
  <c r="L1" i="9"/>
  <c r="NW5" i="9"/>
  <c r="NX5" i="9" s="1"/>
  <c r="NY5" i="9" s="1"/>
  <c r="NZ5" i="9" s="1"/>
  <c r="OA5" i="9" s="1"/>
  <c r="OB5" i="9" s="1"/>
  <c r="OC5" i="9" s="1"/>
  <c r="OD5" i="9" s="1"/>
  <c r="OE5" i="9" s="1"/>
  <c r="OF5" i="9" s="1"/>
  <c r="OG5" i="9" s="1"/>
  <c r="OH5" i="9" s="1"/>
  <c r="OI5" i="9" s="1"/>
  <c r="G63" i="2"/>
  <c r="M1" i="9" l="1"/>
  <c r="N1" i="9" l="1"/>
  <c r="O1" i="9" l="1"/>
  <c r="P1" i="9" l="1"/>
  <c r="Q1" i="9" l="1"/>
  <c r="R1" i="9" l="1"/>
  <c r="S1" i="9" l="1"/>
  <c r="T1" i="9" l="1"/>
  <c r="U1" i="9" l="1"/>
  <c r="V1" i="9" l="1"/>
  <c r="W1" i="9" l="1"/>
  <c r="X1" i="9" l="1"/>
  <c r="Y1" i="9" l="1"/>
  <c r="Z1" i="9" l="1"/>
  <c r="AA1" i="9" l="1"/>
  <c r="AB1" i="9" l="1"/>
  <c r="AC1" i="9" l="1"/>
  <c r="AD1" i="9" l="1"/>
  <c r="AE1" i="9" l="1"/>
  <c r="AF1" i="9" l="1"/>
  <c r="AG1" i="9" l="1"/>
  <c r="AH1" i="9" l="1"/>
  <c r="AI1" i="9" l="1"/>
  <c r="AJ1" i="9" l="1"/>
  <c r="AK1" i="9" l="1"/>
  <c r="AL1" i="9" l="1"/>
  <c r="AM1" i="9" l="1"/>
  <c r="AN1" i="9" l="1"/>
  <c r="AO1" i="9" l="1"/>
  <c r="AP1" i="9" l="1"/>
  <c r="AQ1" i="9" l="1"/>
  <c r="AR1" i="9" l="1"/>
  <c r="AS1" i="9" l="1"/>
  <c r="AT1" i="9" l="1"/>
  <c r="AU1" i="9" l="1"/>
  <c r="AV1" i="9" l="1"/>
  <c r="AW1" i="9" l="1"/>
  <c r="AX1" i="9" l="1"/>
  <c r="AY1" i="9" l="1"/>
  <c r="AZ1" i="9" l="1"/>
  <c r="BA1" i="9" l="1"/>
  <c r="BB1" i="9" l="1"/>
  <c r="BC1" i="9" l="1"/>
  <c r="BD1" i="9" l="1"/>
  <c r="BE1" i="9" l="1"/>
  <c r="BF1" i="9" l="1"/>
  <c r="BG1" i="9" l="1"/>
  <c r="BH1" i="9" l="1"/>
  <c r="BI1" i="9" l="1"/>
  <c r="BJ1" i="9" l="1"/>
  <c r="BK1" i="9" l="1"/>
  <c r="BL1" i="9" l="1"/>
  <c r="BM1" i="9" l="1"/>
  <c r="BN1" i="9" l="1"/>
  <c r="BO1" i="9" l="1"/>
  <c r="BP1" i="9" l="1"/>
  <c r="BQ1" i="9" l="1"/>
  <c r="BR1" i="9" l="1"/>
  <c r="BS1" i="9" l="1"/>
  <c r="BT1" i="9" l="1"/>
  <c r="BU1" i="9" l="1"/>
  <c r="BV1" i="9" l="1"/>
  <c r="BW1" i="9" l="1"/>
  <c r="BX1" i="9" l="1"/>
  <c r="BY1" i="9" l="1"/>
  <c r="BZ1" i="9" l="1"/>
  <c r="CA1" i="9" l="1"/>
  <c r="CB1" i="9" l="1"/>
  <c r="CC1" i="9" l="1"/>
  <c r="CD1" i="9" l="1"/>
  <c r="CE1" i="9" l="1"/>
  <c r="CF1" i="9" l="1"/>
  <c r="CG1" i="9" l="1"/>
  <c r="CH1" i="9" l="1"/>
  <c r="CI1" i="9" l="1"/>
  <c r="CJ1" i="9" l="1"/>
  <c r="CK1" i="9" l="1"/>
  <c r="CL1" i="9" l="1"/>
  <c r="CM1" i="9" l="1"/>
  <c r="CN1" i="9" l="1"/>
  <c r="CO1" i="9" l="1"/>
  <c r="CP1" i="9" l="1"/>
  <c r="CQ1" i="9" l="1"/>
  <c r="CR1" i="9" l="1"/>
  <c r="CS1" i="9" l="1"/>
  <c r="CT1" i="9" l="1"/>
  <c r="CU1" i="9" l="1"/>
  <c r="CV1" i="9" l="1"/>
  <c r="CW1" i="9" l="1"/>
  <c r="CX1" i="9" l="1"/>
  <c r="CY1" i="9" l="1"/>
  <c r="CZ1" i="9" l="1"/>
  <c r="DA1" i="9" l="1"/>
  <c r="DB1" i="9" l="1"/>
  <c r="DC1" i="9" l="1"/>
  <c r="DD1" i="9" l="1"/>
  <c r="DE1" i="9" l="1"/>
  <c r="DF1" i="9" l="1"/>
  <c r="DG1" i="9" l="1"/>
  <c r="DH1" i="9" l="1"/>
  <c r="DI1" i="9" l="1"/>
  <c r="DJ1" i="9" l="1"/>
  <c r="DK1" i="9" l="1"/>
  <c r="DL1" i="9" l="1"/>
  <c r="DM1" i="9" l="1"/>
  <c r="DN1" i="9" l="1"/>
  <c r="DO1" i="9" l="1"/>
  <c r="DP1" i="9" l="1"/>
  <c r="DQ1" i="9" l="1"/>
  <c r="DR1" i="9" l="1"/>
  <c r="DS1" i="9" l="1"/>
  <c r="DT1" i="9" l="1"/>
  <c r="DU1" i="9" l="1"/>
  <c r="DV1" i="9" l="1"/>
  <c r="DW1" i="9" l="1"/>
  <c r="DX1" i="9" l="1"/>
  <c r="DY1" i="9" l="1"/>
  <c r="DZ1" i="9" l="1"/>
  <c r="EA1" i="9" l="1"/>
  <c r="EB1" i="9" l="1"/>
  <c r="EC1" i="9" l="1"/>
  <c r="ED1" i="9" l="1"/>
  <c r="EE1" i="9" l="1"/>
  <c r="EF1" i="9" l="1"/>
  <c r="EG1" i="9" l="1"/>
  <c r="EH1" i="9" l="1"/>
  <c r="EI1" i="9" l="1"/>
  <c r="EJ1" i="9" l="1"/>
  <c r="EK1" i="9" l="1"/>
  <c r="EL1" i="9" l="1"/>
  <c r="EM1" i="9" l="1"/>
  <c r="EN1" i="9" l="1"/>
  <c r="EO1" i="9" l="1"/>
  <c r="EP1" i="9" l="1"/>
  <c r="EQ1" i="9" l="1"/>
  <c r="ER1" i="9" l="1"/>
  <c r="ES1" i="9" l="1"/>
  <c r="ET1" i="9" l="1"/>
  <c r="EU1" i="9" l="1"/>
  <c r="EV1" i="9" l="1"/>
  <c r="EW1" i="9" l="1"/>
  <c r="EX1" i="9" l="1"/>
  <c r="EY1" i="9" l="1"/>
  <c r="EZ1" i="9" l="1"/>
  <c r="FA1" i="9" l="1"/>
  <c r="FB1" i="9" l="1"/>
  <c r="FC1" i="9" l="1"/>
  <c r="FD1" i="9" l="1"/>
  <c r="FE1" i="9" l="1"/>
  <c r="FF1" i="9" l="1"/>
  <c r="FG1" i="9" l="1"/>
  <c r="FH1" i="9" l="1"/>
  <c r="FI1" i="9" l="1"/>
  <c r="FJ1" i="9" l="1"/>
  <c r="FK1" i="9" l="1"/>
  <c r="FL1" i="9" l="1"/>
  <c r="FM1" i="9" l="1"/>
  <c r="FN1" i="9" l="1"/>
  <c r="FO1" i="9" l="1"/>
  <c r="FP1" i="9" l="1"/>
  <c r="FQ1" i="9" l="1"/>
  <c r="FR1" i="9" l="1"/>
  <c r="FS1" i="9" l="1"/>
  <c r="FT1" i="9" l="1"/>
  <c r="FU1" i="9" l="1"/>
  <c r="FV1" i="9" l="1"/>
  <c r="FW1" i="9" l="1"/>
  <c r="FX1" i="9" l="1"/>
  <c r="FY1" i="9" l="1"/>
  <c r="FZ1" i="9" l="1"/>
  <c r="GA1" i="9" l="1"/>
  <c r="GB1" i="9" l="1"/>
  <c r="GC1" i="9" l="1"/>
  <c r="GD1" i="9" l="1"/>
  <c r="GE1" i="9" l="1"/>
  <c r="GF1" i="9" l="1"/>
  <c r="GG1" i="9" l="1"/>
  <c r="GH1" i="9" l="1"/>
  <c r="GI1" i="9" l="1"/>
  <c r="GJ1" i="9" l="1"/>
  <c r="GK1" i="9" l="1"/>
  <c r="GL1" i="9" l="1"/>
  <c r="GM1" i="9" l="1"/>
  <c r="GN1" i="9" l="1"/>
  <c r="GO1" i="9" l="1"/>
  <c r="GP1" i="9" l="1"/>
  <c r="GQ1" i="9" l="1"/>
  <c r="GR1" i="9" l="1"/>
  <c r="GS1" i="9" l="1"/>
  <c r="GT1" i="9" l="1"/>
  <c r="GU1" i="9" l="1"/>
  <c r="GV1" i="9" l="1"/>
  <c r="GW1" i="9" l="1"/>
  <c r="GX1" i="9" l="1"/>
  <c r="GY1" i="9" l="1"/>
  <c r="GZ1" i="9" l="1"/>
  <c r="HA1" i="9" l="1"/>
  <c r="HB1" i="9" l="1"/>
  <c r="HC1" i="9" l="1"/>
  <c r="HD1" i="9" l="1"/>
  <c r="HE1" i="9" l="1"/>
  <c r="HF1" i="9" l="1"/>
  <c r="HG1" i="9" l="1"/>
  <c r="HH1" i="9" l="1"/>
  <c r="HI1" i="9" l="1"/>
  <c r="HJ1" i="9" l="1"/>
  <c r="HK1" i="9" l="1"/>
  <c r="HL1" i="9" l="1"/>
  <c r="HM1" i="9" l="1"/>
  <c r="HN1" i="9" l="1"/>
  <c r="HO1" i="9" l="1"/>
  <c r="HP1" i="9" l="1"/>
  <c r="HQ1" i="9" l="1"/>
  <c r="HR1" i="9" l="1"/>
  <c r="HS1" i="9" l="1"/>
  <c r="HT1" i="9" l="1"/>
  <c r="HU1" i="9" l="1"/>
  <c r="HV1" i="9" l="1"/>
  <c r="HW1" i="9" l="1"/>
  <c r="HX1" i="9" l="1"/>
  <c r="HY1" i="9" l="1"/>
  <c r="HZ1" i="9" l="1"/>
  <c r="IA1" i="9" l="1"/>
  <c r="IB1" i="9" l="1"/>
  <c r="IC1" i="9" l="1"/>
  <c r="ID1" i="9" l="1"/>
  <c r="IE1" i="9" l="1"/>
  <c r="IF1" i="9" l="1"/>
  <c r="IG1" i="9" l="1"/>
  <c r="IH1" i="9" l="1"/>
  <c r="II1" i="9" l="1"/>
  <c r="IJ1" i="9" l="1"/>
  <c r="IK1" i="9" l="1"/>
  <c r="IL1" i="9" l="1"/>
  <c r="IM1" i="9" l="1"/>
  <c r="IN1" i="9" l="1"/>
  <c r="IO1" i="9" l="1"/>
  <c r="IP1" i="9" l="1"/>
  <c r="IQ1" i="9" l="1"/>
  <c r="IR1" i="9" l="1"/>
  <c r="IS1" i="9" l="1"/>
  <c r="IT1" i="9" l="1"/>
  <c r="IU1" i="9" l="1"/>
  <c r="IV1" i="9" l="1"/>
  <c r="IW1" i="9" l="1"/>
  <c r="IX1" i="9" l="1"/>
  <c r="IY1" i="9" l="1"/>
  <c r="IZ1" i="9" l="1"/>
  <c r="JA1" i="9" l="1"/>
  <c r="JB1" i="9" l="1"/>
  <c r="JC1" i="9" l="1"/>
  <c r="JD1" i="9" l="1"/>
  <c r="JE1" i="9" l="1"/>
  <c r="JF1" i="9" l="1"/>
  <c r="JG1" i="9" l="1"/>
  <c r="JH1" i="9" l="1"/>
  <c r="JI1" i="9" l="1"/>
  <c r="JJ1" i="9" l="1"/>
  <c r="JK1" i="9" l="1"/>
  <c r="JL1" i="9" l="1"/>
  <c r="JM1" i="9" l="1"/>
  <c r="JN1" i="9" l="1"/>
  <c r="JO1" i="9" l="1"/>
  <c r="JP1" i="9" l="1"/>
  <c r="JQ1" i="9" l="1"/>
  <c r="JR1" i="9" l="1"/>
  <c r="JS1" i="9" l="1"/>
  <c r="JT1" i="9" l="1"/>
  <c r="JU1" i="9" l="1"/>
  <c r="JV1" i="9" l="1"/>
  <c r="JW1" i="9" l="1"/>
  <c r="JX1" i="9" l="1"/>
  <c r="JY1" i="9" l="1"/>
  <c r="JZ1" i="9" l="1"/>
  <c r="KA1" i="9" l="1"/>
  <c r="KB1" i="9" l="1"/>
  <c r="KC1" i="9" l="1"/>
  <c r="KD1" i="9" l="1"/>
  <c r="KE1" i="9" l="1"/>
  <c r="KF1" i="9" l="1"/>
  <c r="KG1" i="9" l="1"/>
  <c r="KH1" i="9" l="1"/>
  <c r="KI1" i="9" l="1"/>
  <c r="KJ1" i="9" l="1"/>
  <c r="KK1" i="9" l="1"/>
  <c r="KL1" i="9" l="1"/>
  <c r="KM1" i="9" l="1"/>
  <c r="KN1" i="9" l="1"/>
  <c r="KO1" i="9" l="1"/>
  <c r="KP1" i="9" l="1"/>
  <c r="KQ1" i="9" l="1"/>
  <c r="KR1" i="9" l="1"/>
  <c r="KS1" i="9" l="1"/>
  <c r="KT1" i="9" l="1"/>
  <c r="KU1" i="9" l="1"/>
  <c r="KV1" i="9" l="1"/>
  <c r="KW1" i="9" l="1"/>
  <c r="KX1" i="9" l="1"/>
  <c r="KY1" i="9" l="1"/>
  <c r="KZ1" i="9" l="1"/>
  <c r="LA1" i="9" l="1"/>
  <c r="LB1" i="9" l="1"/>
  <c r="LC1" i="9" l="1"/>
  <c r="LD1" i="9" l="1"/>
  <c r="LE1" i="9" l="1"/>
  <c r="LF1" i="9" l="1"/>
  <c r="LG1" i="9" l="1"/>
  <c r="LH1" i="9" l="1"/>
  <c r="LI1" i="9" l="1"/>
  <c r="LJ1" i="9" l="1"/>
  <c r="LK1" i="9" l="1"/>
  <c r="LL1" i="9" l="1"/>
  <c r="LM1" i="9" l="1"/>
  <c r="LN1" i="9" l="1"/>
  <c r="LO1" i="9" l="1"/>
  <c r="LP1" i="9" l="1"/>
  <c r="LQ1" i="9" l="1"/>
  <c r="LR1" i="9" l="1"/>
  <c r="LS1" i="9" l="1"/>
  <c r="LT1" i="9" l="1"/>
  <c r="LU1" i="9" l="1"/>
  <c r="LV1" i="9" l="1"/>
  <c r="LW1" i="9" l="1"/>
  <c r="LX1" i="9" l="1"/>
  <c r="LY1" i="9" l="1"/>
  <c r="LZ1" i="9" l="1"/>
  <c r="MA1" i="9" l="1"/>
  <c r="MB1" i="9" l="1"/>
  <c r="MC1" i="9" l="1"/>
  <c r="MD1" i="9" l="1"/>
  <c r="ME1" i="9" l="1"/>
  <c r="MF1" i="9" l="1"/>
  <c r="MG1" i="9" l="1"/>
  <c r="MH1" i="9" l="1"/>
  <c r="MI1" i="9" l="1"/>
  <c r="MJ1" i="9" l="1"/>
  <c r="MK1" i="9" l="1"/>
  <c r="ML1" i="9" l="1"/>
  <c r="MM1" i="9" l="1"/>
  <c r="MN1" i="9" l="1"/>
  <c r="MO1" i="9" l="1"/>
  <c r="MP1" i="9" l="1"/>
  <c r="MQ1" i="9" l="1"/>
  <c r="MR1" i="9" l="1"/>
  <c r="MS1" i="9" l="1"/>
  <c r="MT1" i="9" l="1"/>
  <c r="MU1" i="9" l="1"/>
  <c r="MV1" i="9" l="1"/>
  <c r="MW1" i="9" l="1"/>
  <c r="MX1" i="9" l="1"/>
  <c r="MY1" i="9" l="1"/>
  <c r="MZ1" i="9" l="1"/>
  <c r="NA1" i="9" l="1"/>
  <c r="NB1" i="9" l="1"/>
  <c r="NC1" i="9" l="1"/>
  <c r="ND1" i="9" l="1"/>
  <c r="NE1" i="9" l="1"/>
  <c r="NF1" i="9" l="1"/>
  <c r="NG1" i="9" l="1"/>
  <c r="NH1" i="9" l="1"/>
  <c r="NI1" i="9" l="1"/>
  <c r="NI5" i="9" s="1"/>
  <c r="NI6" i="9" s="1"/>
  <c r="NH5" i="9" l="1"/>
  <c r="NH6" i="9" l="1"/>
  <c r="NG5" i="9"/>
  <c r="NG6" i="9" l="1"/>
  <c r="NF5" i="9"/>
  <c r="NF6" i="9" l="1"/>
  <c r="NE5" i="9"/>
  <c r="NE6" i="9" l="1"/>
  <c r="ND5" i="9"/>
  <c r="ND6" i="9" l="1"/>
  <c r="NC5" i="9"/>
  <c r="NC6" i="9" l="1"/>
  <c r="NB5" i="9"/>
  <c r="NB6" i="9" l="1"/>
  <c r="NA5" i="9"/>
  <c r="NA6" i="9" l="1"/>
  <c r="MZ5" i="9"/>
  <c r="MZ6" i="9" l="1"/>
  <c r="MY5" i="9"/>
  <c r="MY6" i="9" l="1"/>
  <c r="MX5" i="9"/>
  <c r="MX6" i="9" l="1"/>
  <c r="MW5" i="9"/>
  <c r="MW6" i="9" l="1"/>
  <c r="MV5" i="9"/>
  <c r="MV6" i="9" l="1"/>
  <c r="MU5" i="9"/>
  <c r="MU6" i="9" l="1"/>
  <c r="MT5" i="9"/>
  <c r="MT6" i="9" l="1"/>
  <c r="MS5" i="9"/>
  <c r="MS6" i="9" l="1"/>
  <c r="MR5" i="9"/>
  <c r="MR6" i="9" l="1"/>
  <c r="MQ5" i="9"/>
  <c r="MQ6" i="9" l="1"/>
  <c r="MP5" i="9"/>
  <c r="MP6" i="9" l="1"/>
  <c r="MO5" i="9"/>
  <c r="MO6" i="9" l="1"/>
  <c r="MN5" i="9"/>
  <c r="MN6" i="9" l="1"/>
  <c r="MM5" i="9"/>
  <c r="MM6" i="9" l="1"/>
  <c r="ML5" i="9"/>
  <c r="ML6" i="9" l="1"/>
  <c r="MK5" i="9"/>
  <c r="MK6" i="9" l="1"/>
  <c r="MJ5" i="9"/>
  <c r="MJ6" i="9" l="1"/>
  <c r="MI5" i="9"/>
  <c r="MI6" i="9" l="1"/>
  <c r="MH5" i="9"/>
  <c r="MH6" i="9" l="1"/>
  <c r="MG5" i="9"/>
  <c r="MG6" i="9" l="1"/>
  <c r="MF5" i="9"/>
  <c r="MF6" i="9" l="1"/>
  <c r="ME5" i="9"/>
  <c r="ME6" i="9" l="1"/>
  <c r="MD5" i="9"/>
  <c r="MD6" i="9" l="1"/>
  <c r="MC5" i="9"/>
  <c r="MC6" i="9" l="1"/>
  <c r="MB5" i="9"/>
  <c r="MB6" i="9" l="1"/>
  <c r="MA5" i="9"/>
  <c r="MA6" i="9" l="1"/>
  <c r="LZ5" i="9"/>
  <c r="LZ6" i="9" l="1"/>
  <c r="LY5" i="9"/>
  <c r="LY6" i="9" l="1"/>
  <c r="LX5" i="9"/>
  <c r="LX6" i="9" l="1"/>
  <c r="LW5" i="9"/>
  <c r="LW6" i="9" l="1"/>
  <c r="LV5" i="9"/>
  <c r="LV6" i="9" l="1"/>
  <c r="LU5" i="9"/>
  <c r="LU6" i="9" l="1"/>
  <c r="LT5" i="9"/>
  <c r="LT6" i="9" l="1"/>
  <c r="LS5" i="9"/>
  <c r="LS6" i="9" l="1"/>
  <c r="LR5" i="9"/>
  <c r="LR6" i="9" l="1"/>
  <c r="LQ5" i="9"/>
  <c r="LQ6" i="9" l="1"/>
  <c r="LP5" i="9"/>
  <c r="LP6" i="9" l="1"/>
  <c r="LO5" i="9"/>
  <c r="LO6" i="9" l="1"/>
  <c r="LN5" i="9"/>
  <c r="LN6" i="9" l="1"/>
  <c r="LM5" i="9"/>
  <c r="LM6" i="9" l="1"/>
  <c r="LL5" i="9"/>
  <c r="LL6" i="9" l="1"/>
  <c r="LK5" i="9"/>
  <c r="LK6" i="9" l="1"/>
  <c r="LJ5" i="9"/>
  <c r="LJ6" i="9" l="1"/>
  <c r="LI5" i="9"/>
  <c r="LI6" i="9" l="1"/>
  <c r="LH5" i="9"/>
  <c r="LH6" i="9" l="1"/>
  <c r="LG5" i="9"/>
  <c r="LG6" i="9" l="1"/>
  <c r="LF5" i="9"/>
  <c r="LF6" i="9" l="1"/>
  <c r="LE5" i="9"/>
  <c r="LE6" i="9" l="1"/>
  <c r="LD5" i="9"/>
  <c r="LD6" i="9" l="1"/>
  <c r="LC5" i="9"/>
  <c r="LC6" i="9" l="1"/>
  <c r="LB5" i="9"/>
  <c r="LB6" i="9" l="1"/>
  <c r="LA5" i="9"/>
  <c r="LA6" i="9" l="1"/>
  <c r="KZ5" i="9"/>
  <c r="KZ6" i="9" l="1"/>
  <c r="KY5" i="9"/>
  <c r="KY6" i="9" l="1"/>
  <c r="KX5" i="9"/>
  <c r="KX6" i="9" l="1"/>
  <c r="KW5" i="9"/>
  <c r="KW6" i="9" l="1"/>
  <c r="KV5" i="9"/>
  <c r="KV6" i="9" l="1"/>
  <c r="KU5" i="9"/>
  <c r="KU6" i="9" l="1"/>
  <c r="KT5" i="9"/>
  <c r="KT6" i="9" l="1"/>
  <c r="KS5" i="9"/>
  <c r="KS6" i="9" l="1"/>
  <c r="KR5" i="9"/>
  <c r="KR6" i="9" l="1"/>
  <c r="KQ5" i="9"/>
  <c r="KQ6" i="9" l="1"/>
  <c r="KP5" i="9"/>
  <c r="KP6" i="9" l="1"/>
  <c r="KO5" i="9"/>
  <c r="KO6" i="9" l="1"/>
  <c r="KN5" i="9"/>
  <c r="KN6" i="9" l="1"/>
  <c r="KM5" i="9"/>
  <c r="KM6" i="9" l="1"/>
  <c r="KL5" i="9"/>
  <c r="KL6" i="9" l="1"/>
  <c r="KK5" i="9"/>
  <c r="KK6" i="9" l="1"/>
  <c r="KJ5" i="9"/>
  <c r="KJ6" i="9" l="1"/>
  <c r="KI5" i="9"/>
  <c r="KI6" i="9" l="1"/>
  <c r="KH5" i="9"/>
  <c r="KH6" i="9" l="1"/>
  <c r="KG5" i="9"/>
  <c r="KG6" i="9" l="1"/>
  <c r="KF5" i="9"/>
  <c r="KF6" i="9" l="1"/>
  <c r="KE5" i="9"/>
  <c r="KE6" i="9" l="1"/>
  <c r="KD5" i="9"/>
  <c r="KD6" i="9" l="1"/>
  <c r="KC5" i="9"/>
  <c r="KC6" i="9" l="1"/>
  <c r="KB5" i="9"/>
  <c r="KB6" i="9" l="1"/>
  <c r="KA5" i="9"/>
  <c r="KA6" i="9" l="1"/>
  <c r="JZ5" i="9"/>
  <c r="JZ6" i="9" l="1"/>
  <c r="JY5" i="9"/>
  <c r="JY6" i="9" l="1"/>
  <c r="JX5" i="9"/>
  <c r="JX6" i="9" l="1"/>
  <c r="JW5" i="9"/>
  <c r="JW6" i="9" l="1"/>
  <c r="JV5" i="9"/>
  <c r="JV6" i="9" l="1"/>
  <c r="JU5" i="9"/>
  <c r="JU6" i="9" l="1"/>
  <c r="JT5" i="9"/>
  <c r="JT6" i="9" l="1"/>
  <c r="JS5" i="9"/>
  <c r="JS6" i="9" l="1"/>
  <c r="JR5" i="9"/>
  <c r="JR6" i="9" l="1"/>
  <c r="JQ5" i="9"/>
  <c r="JQ6" i="9" l="1"/>
  <c r="JP5" i="9"/>
  <c r="JP6" i="9" l="1"/>
  <c r="JO5" i="9"/>
  <c r="JO6" i="9" l="1"/>
  <c r="JN5" i="9"/>
  <c r="JN6" i="9" l="1"/>
  <c r="JM5" i="9"/>
  <c r="JM6" i="9" l="1"/>
  <c r="JL5" i="9"/>
  <c r="JL6" i="9" l="1"/>
  <c r="JK5" i="9"/>
  <c r="JK6" i="9" l="1"/>
  <c r="JJ5" i="9"/>
  <c r="JJ6" i="9" l="1"/>
  <c r="JI5" i="9"/>
  <c r="JI6" i="9" l="1"/>
  <c r="JH5" i="9"/>
  <c r="JH6" i="9" l="1"/>
  <c r="JG5" i="9"/>
  <c r="JG6" i="9" l="1"/>
  <c r="JF5" i="9"/>
  <c r="JF6" i="9" l="1"/>
  <c r="JE5" i="9"/>
  <c r="JE6" i="9" l="1"/>
  <c r="JD5" i="9"/>
  <c r="JD6" i="9" l="1"/>
  <c r="JC5" i="9"/>
  <c r="JC6" i="9" l="1"/>
  <c r="JB5" i="9"/>
  <c r="JB6" i="9" l="1"/>
  <c r="JA5" i="9"/>
  <c r="JA6" i="9" l="1"/>
  <c r="IZ5" i="9"/>
  <c r="IZ6" i="9" l="1"/>
  <c r="IY5" i="9"/>
  <c r="IY6" i="9" l="1"/>
  <c r="IX5" i="9"/>
  <c r="IX6" i="9" l="1"/>
  <c r="IW5" i="9"/>
  <c r="IW6" i="9" l="1"/>
  <c r="IV5" i="9"/>
  <c r="IV6" i="9" l="1"/>
  <c r="IU5" i="9"/>
  <c r="IU6" i="9" l="1"/>
  <c r="IT5" i="9"/>
  <c r="IT6" i="9" l="1"/>
  <c r="IS5" i="9"/>
  <c r="IS6" i="9" l="1"/>
  <c r="IR5" i="9"/>
  <c r="IR6" i="9" l="1"/>
  <c r="IQ5" i="9"/>
  <c r="IQ6" i="9" l="1"/>
  <c r="IP5" i="9"/>
  <c r="IP6" i="9" l="1"/>
  <c r="IO5" i="9"/>
  <c r="IO6" i="9" l="1"/>
  <c r="IN5" i="9"/>
  <c r="IN6" i="9" l="1"/>
  <c r="IM5" i="9"/>
  <c r="IM6" i="9" l="1"/>
  <c r="IL5" i="9"/>
  <c r="IL6" i="9" l="1"/>
  <c r="IK5" i="9"/>
  <c r="IK6" i="9" l="1"/>
  <c r="IJ5" i="9"/>
  <c r="IJ6" i="9" l="1"/>
  <c r="II5" i="9"/>
  <c r="II6" i="9" l="1"/>
  <c r="IH5" i="9"/>
  <c r="IH6" i="9" l="1"/>
  <c r="IG5" i="9"/>
  <c r="IG6" i="9" l="1"/>
  <c r="IF5" i="9"/>
  <c r="IF6" i="9" l="1"/>
  <c r="IE5" i="9"/>
  <c r="IE6" i="9" l="1"/>
  <c r="ID5" i="9"/>
  <c r="ID6" i="9" l="1"/>
  <c r="IC5" i="9"/>
  <c r="IC6" i="9" l="1"/>
  <c r="IB5" i="9"/>
  <c r="IB6" i="9" l="1"/>
  <c r="IA5" i="9"/>
  <c r="IA6" i="9" l="1"/>
  <c r="HZ5" i="9"/>
  <c r="HZ6" i="9" l="1"/>
  <c r="HY5" i="9"/>
  <c r="HY6" i="9" l="1"/>
  <c r="HX5" i="9"/>
  <c r="HX6" i="9" l="1"/>
  <c r="HW5" i="9"/>
  <c r="HW6" i="9" l="1"/>
  <c r="HV5" i="9"/>
  <c r="HV6" i="9" l="1"/>
  <c r="HU5" i="9"/>
  <c r="HU6" i="9" l="1"/>
  <c r="HT5" i="9"/>
  <c r="HT6" i="9" l="1"/>
  <c r="HS5" i="9"/>
  <c r="HS6" i="9" l="1"/>
  <c r="HR5" i="9"/>
  <c r="HR6" i="9" l="1"/>
  <c r="HQ5" i="9"/>
  <c r="HQ6" i="9" l="1"/>
  <c r="HP5" i="9"/>
  <c r="HP6" i="9" l="1"/>
  <c r="HO5" i="9"/>
  <c r="HO6" i="9" l="1"/>
  <c r="HN5" i="9"/>
  <c r="HN6" i="9" l="1"/>
  <c r="HM5" i="9"/>
  <c r="HM6" i="9" l="1"/>
  <c r="HL5" i="9"/>
  <c r="HL6" i="9" l="1"/>
  <c r="HK5" i="9"/>
  <c r="HK6" i="9" l="1"/>
  <c r="HJ5" i="9"/>
  <c r="HJ6" i="9" l="1"/>
  <c r="HI5" i="9"/>
  <c r="HI6" i="9" l="1"/>
  <c r="HH5" i="9"/>
  <c r="HH6" i="9" l="1"/>
  <c r="HG5" i="9"/>
  <c r="HG6" i="9" l="1"/>
  <c r="HF5" i="9"/>
  <c r="HF6" i="9" l="1"/>
  <c r="HE5" i="9"/>
  <c r="HE6" i="9" l="1"/>
  <c r="HD5" i="9"/>
  <c r="HD6" i="9" l="1"/>
  <c r="HC5" i="9"/>
  <c r="HC6" i="9" l="1"/>
  <c r="HB5" i="9"/>
  <c r="HB6" i="9" l="1"/>
  <c r="HA5" i="9"/>
  <c r="HA6" i="9" l="1"/>
  <c r="GZ5" i="9"/>
  <c r="GZ6" i="9" l="1"/>
  <c r="GY5" i="9"/>
  <c r="GY6" i="9" l="1"/>
  <c r="GX5" i="9"/>
  <c r="GX6" i="9" l="1"/>
  <c r="GW5" i="9"/>
  <c r="GW6" i="9" l="1"/>
  <c r="GV5" i="9"/>
  <c r="GV6" i="9" l="1"/>
  <c r="GU5" i="9"/>
  <c r="GU6" i="9" l="1"/>
  <c r="GT5" i="9"/>
  <c r="GT6" i="9" l="1"/>
  <c r="GS5" i="9"/>
  <c r="GS6" i="9" l="1"/>
  <c r="GR5" i="9"/>
  <c r="GR6" i="9" l="1"/>
  <c r="GQ5" i="9"/>
  <c r="GQ6" i="9" l="1"/>
  <c r="GP5" i="9"/>
  <c r="GP6" i="9" l="1"/>
  <c r="GO5" i="9"/>
  <c r="GO6" i="9" l="1"/>
  <c r="GN5" i="9"/>
  <c r="GN6" i="9" l="1"/>
  <c r="GM5" i="9"/>
  <c r="GM6" i="9" l="1"/>
  <c r="GL5" i="9"/>
  <c r="GL6" i="9" l="1"/>
  <c r="GK5" i="9"/>
  <c r="GK6" i="9" l="1"/>
  <c r="GJ5" i="9"/>
  <c r="GJ6" i="9" l="1"/>
  <c r="GI5" i="9"/>
  <c r="GI6" i="9" l="1"/>
  <c r="GH5" i="9"/>
  <c r="GH6" i="9" l="1"/>
  <c r="GG5" i="9"/>
  <c r="GG6" i="9" l="1"/>
  <c r="GF5" i="9"/>
  <c r="GF6" i="9" l="1"/>
  <c r="GE5" i="9"/>
  <c r="GE6" i="9" l="1"/>
  <c r="GD5" i="9"/>
  <c r="GD6" i="9" l="1"/>
  <c r="GC5" i="9"/>
  <c r="GC6" i="9" l="1"/>
  <c r="GB5" i="9"/>
  <c r="GB6" i="9" l="1"/>
  <c r="GA5" i="9"/>
  <c r="GA6" i="9" l="1"/>
  <c r="FZ5" i="9"/>
  <c r="FZ6" i="9" l="1"/>
  <c r="FY5" i="9"/>
  <c r="FY6" i="9" l="1"/>
  <c r="FX5" i="9"/>
  <c r="FX6" i="9" l="1"/>
  <c r="FW5" i="9"/>
  <c r="FW6" i="9" l="1"/>
  <c r="FV5" i="9"/>
  <c r="FV6" i="9" l="1"/>
  <c r="FU5" i="9"/>
  <c r="FU6" i="9" l="1"/>
  <c r="FT5" i="9"/>
  <c r="FT6" i="9" l="1"/>
  <c r="FS5" i="9"/>
  <c r="FS6" i="9" l="1"/>
  <c r="FR5" i="9"/>
  <c r="FR6" i="9" l="1"/>
  <c r="FQ5" i="9"/>
  <c r="FQ6" i="9" l="1"/>
  <c r="FP5" i="9"/>
  <c r="FP6" i="9" l="1"/>
  <c r="FO5" i="9"/>
  <c r="FO6" i="9" l="1"/>
  <c r="FN5" i="9"/>
  <c r="FN6" i="9" l="1"/>
  <c r="FM5" i="9"/>
  <c r="FM6" i="9" l="1"/>
  <c r="FL5" i="9"/>
  <c r="FL6" i="9" l="1"/>
  <c r="FK5" i="9"/>
  <c r="FK6" i="9" l="1"/>
  <c r="FJ5" i="9"/>
  <c r="FJ6" i="9" l="1"/>
  <c r="FI5" i="9"/>
  <c r="FI6" i="9" l="1"/>
  <c r="FH5" i="9"/>
  <c r="FH6" i="9" l="1"/>
  <c r="FG5" i="9"/>
  <c r="FG6" i="9" l="1"/>
  <c r="FF5" i="9"/>
  <c r="FF6" i="9" l="1"/>
  <c r="FE5" i="9"/>
  <c r="FE6" i="9" l="1"/>
  <c r="FD5" i="9"/>
  <c r="FD6" i="9" l="1"/>
  <c r="FC5" i="9"/>
  <c r="FC6" i="9" l="1"/>
  <c r="FB5" i="9"/>
  <c r="FB6" i="9" l="1"/>
  <c r="FA5" i="9"/>
  <c r="FA6" i="9" l="1"/>
  <c r="EZ5" i="9"/>
  <c r="EZ6" i="9" l="1"/>
  <c r="EY5" i="9"/>
  <c r="EY6" i="9" l="1"/>
  <c r="EX5" i="9"/>
  <c r="EX6" i="9" l="1"/>
  <c r="EW5" i="9"/>
  <c r="EW6" i="9" l="1"/>
  <c r="EV5" i="9"/>
  <c r="EV6" i="9" l="1"/>
  <c r="EU5" i="9"/>
  <c r="EU6" i="9" l="1"/>
  <c r="ET5" i="9"/>
  <c r="ET6" i="9" l="1"/>
  <c r="ES5" i="9"/>
  <c r="ES6" i="9" l="1"/>
  <c r="ER5" i="9"/>
  <c r="ER6" i="9" l="1"/>
  <c r="EQ5" i="9"/>
  <c r="EQ6" i="9" l="1"/>
  <c r="EP5" i="9"/>
  <c r="EP6" i="9" l="1"/>
  <c r="EO5" i="9"/>
  <c r="EO6" i="9" l="1"/>
  <c r="EN5" i="9"/>
  <c r="EN6" i="9" l="1"/>
  <c r="EM5" i="9"/>
  <c r="EM6" i="9" l="1"/>
  <c r="EL5" i="9"/>
  <c r="EL6" i="9" l="1"/>
  <c r="EK5" i="9"/>
  <c r="EK6" i="9" l="1"/>
  <c r="EJ5" i="9"/>
  <c r="EJ6" i="9" l="1"/>
  <c r="EI5" i="9"/>
  <c r="EI6" i="9" l="1"/>
  <c r="EH5" i="9"/>
  <c r="EH6" i="9" l="1"/>
  <c r="EG5" i="9"/>
  <c r="EG6" i="9" l="1"/>
  <c r="EF5" i="9"/>
  <c r="EF6" i="9" l="1"/>
  <c r="EE5" i="9"/>
  <c r="EE6" i="9" l="1"/>
  <c r="ED5" i="9"/>
  <c r="ED6" i="9" l="1"/>
  <c r="EC5" i="9"/>
  <c r="EC6" i="9" l="1"/>
  <c r="EB5" i="9"/>
  <c r="EB6" i="9" l="1"/>
  <c r="EA5" i="9"/>
  <c r="EA6" i="9" l="1"/>
  <c r="DZ5" i="9"/>
  <c r="DZ6" i="9" l="1"/>
  <c r="DY5" i="9"/>
  <c r="DY6" i="9" l="1"/>
  <c r="DX5" i="9"/>
  <c r="DX6" i="9" l="1"/>
  <c r="DW5" i="9"/>
  <c r="DW6" i="9" l="1"/>
  <c r="DV5" i="9"/>
  <c r="DV6" i="9" l="1"/>
  <c r="DU5" i="9"/>
  <c r="DU6" i="9" l="1"/>
  <c r="DT5" i="9"/>
  <c r="DT6" i="9" l="1"/>
  <c r="DS5" i="9"/>
  <c r="DS6" i="9" l="1"/>
  <c r="DR5" i="9"/>
  <c r="DR6" i="9" l="1"/>
  <c r="DQ5" i="9"/>
  <c r="DQ6" i="9" l="1"/>
  <c r="DP5" i="9"/>
  <c r="DP6" i="9" l="1"/>
  <c r="DO5" i="9"/>
  <c r="DO6" i="9" l="1"/>
  <c r="DN5" i="9"/>
  <c r="DN6" i="9" l="1"/>
  <c r="DM5" i="9"/>
  <c r="DM6" i="9" l="1"/>
  <c r="DL5" i="9"/>
  <c r="DL6" i="9" l="1"/>
  <c r="DK5" i="9"/>
  <c r="DK6" i="9" l="1"/>
  <c r="DJ5" i="9"/>
  <c r="DJ6" i="9" l="1"/>
  <c r="DI5" i="9"/>
  <c r="DI6" i="9" l="1"/>
  <c r="DH5" i="9"/>
  <c r="DH6" i="9" l="1"/>
  <c r="DG5" i="9"/>
  <c r="DG6" i="9" l="1"/>
  <c r="DF5" i="9"/>
  <c r="DF6" i="9" l="1"/>
  <c r="DE5" i="9"/>
  <c r="DE6" i="9" l="1"/>
  <c r="DD5" i="9"/>
  <c r="DD6" i="9" l="1"/>
  <c r="DC5" i="9"/>
  <c r="DC6" i="9" l="1"/>
  <c r="DB5" i="9"/>
  <c r="DB6" i="9" l="1"/>
  <c r="DA5" i="9"/>
  <c r="DA6" i="9" l="1"/>
  <c r="CZ5" i="9"/>
  <c r="CZ6" i="9" l="1"/>
  <c r="CY5" i="9"/>
  <c r="CY6" i="9" l="1"/>
  <c r="CX5" i="9"/>
  <c r="CX6" i="9" l="1"/>
  <c r="CW5" i="9"/>
  <c r="CW6" i="9" l="1"/>
  <c r="CV5" i="9"/>
  <c r="CV6" i="9" l="1"/>
  <c r="CU5" i="9"/>
  <c r="CU6" i="9" l="1"/>
  <c r="CT5" i="9"/>
  <c r="CT6" i="9" l="1"/>
  <c r="CS5" i="9"/>
  <c r="CS6" i="9" l="1"/>
  <c r="CR5" i="9"/>
  <c r="CR6" i="9" l="1"/>
  <c r="CQ5" i="9"/>
  <c r="CQ6" i="9" l="1"/>
  <c r="CP5" i="9"/>
  <c r="CP6" i="9" l="1"/>
  <c r="CO5" i="9"/>
  <c r="CO6" i="9" l="1"/>
  <c r="CN5" i="9"/>
  <c r="CN6" i="9" l="1"/>
  <c r="CM5" i="9"/>
  <c r="CM6" i="9" l="1"/>
  <c r="CL5" i="9"/>
  <c r="CL6" i="9" l="1"/>
  <c r="CK5" i="9"/>
  <c r="CK6" i="9" l="1"/>
  <c r="CJ5" i="9"/>
  <c r="CJ6" i="9" l="1"/>
  <c r="CI5" i="9"/>
  <c r="CI6" i="9" l="1"/>
  <c r="CH5" i="9"/>
  <c r="CH6" i="9" l="1"/>
  <c r="CG5" i="9"/>
  <c r="CG6" i="9" l="1"/>
  <c r="CF5" i="9"/>
  <c r="CF6" i="9" l="1"/>
  <c r="CE5" i="9"/>
  <c r="CE6" i="9" l="1"/>
  <c r="CD5" i="9"/>
  <c r="CD6" i="9" l="1"/>
  <c r="CC5" i="9"/>
  <c r="CC6" i="9" l="1"/>
  <c r="CB5" i="9"/>
  <c r="CB6" i="9" l="1"/>
  <c r="CA5" i="9"/>
  <c r="CA6" i="9" l="1"/>
  <c r="BZ5" i="9"/>
  <c r="BZ6" i="9" l="1"/>
  <c r="BY5" i="9"/>
  <c r="BY6" i="9" l="1"/>
  <c r="BX5" i="9"/>
  <c r="BX6" i="9" l="1"/>
  <c r="BW5" i="9"/>
  <c r="BW6" i="9" l="1"/>
  <c r="BV5" i="9"/>
  <c r="BV6" i="9" l="1"/>
  <c r="BU5" i="9"/>
  <c r="BU6" i="9" l="1"/>
  <c r="BT5" i="9"/>
  <c r="BT6" i="9" l="1"/>
  <c r="BS5" i="9"/>
  <c r="BS6" i="9" l="1"/>
  <c r="BR5" i="9"/>
  <c r="BR6" i="9" l="1"/>
  <c r="BQ5" i="9"/>
  <c r="BQ6" i="9" l="1"/>
  <c r="BP5" i="9"/>
  <c r="BP6" i="9" l="1"/>
  <c r="BO5" i="9"/>
  <c r="BO6" i="9" l="1"/>
  <c r="BN5" i="9"/>
  <c r="BN6" i="9" l="1"/>
  <c r="BM5" i="9"/>
  <c r="BM6" i="9" l="1"/>
  <c r="BL5" i="9"/>
  <c r="BL6" i="9" l="1"/>
  <c r="BK5" i="9"/>
  <c r="BK6" i="9" l="1"/>
  <c r="BJ5" i="9"/>
  <c r="BJ6" i="9" l="1"/>
  <c r="BI5" i="9"/>
  <c r="BI6" i="9" l="1"/>
  <c r="BH5" i="9"/>
  <c r="BH6" i="9" l="1"/>
  <c r="BG5" i="9"/>
  <c r="BG6" i="9" l="1"/>
  <c r="BF5" i="9"/>
  <c r="BF6" i="9" l="1"/>
  <c r="BE5" i="9"/>
  <c r="BE6" i="9" l="1"/>
  <c r="BD5" i="9"/>
  <c r="BD6" i="9" l="1"/>
  <c r="BC5" i="9"/>
  <c r="BC6" i="9" l="1"/>
  <c r="BB5" i="9"/>
  <c r="BB6" i="9" l="1"/>
  <c r="BA5" i="9"/>
  <c r="BA6" i="9" l="1"/>
  <c r="AZ5" i="9"/>
  <c r="AZ6" i="9" l="1"/>
  <c r="AY5" i="9"/>
  <c r="AY6" i="9" l="1"/>
  <c r="AX5" i="9"/>
  <c r="AX6" i="9" l="1"/>
  <c r="AW5" i="9"/>
  <c r="AW6" i="9" l="1"/>
  <c r="AV5" i="9"/>
  <c r="AV6" i="9" l="1"/>
  <c r="AU5" i="9"/>
  <c r="AU6" i="9" l="1"/>
  <c r="AT5" i="9"/>
  <c r="AT6" i="9" l="1"/>
  <c r="AS5" i="9"/>
  <c r="AS6" i="9" l="1"/>
  <c r="AR5" i="9"/>
  <c r="AR6" i="9" l="1"/>
  <c r="AQ5" i="9"/>
  <c r="AQ6" i="9" l="1"/>
  <c r="AP5" i="9"/>
  <c r="AP6" i="9" l="1"/>
  <c r="AO5" i="9"/>
  <c r="AO6" i="9" l="1"/>
  <c r="AN5" i="9"/>
  <c r="AN6" i="9" l="1"/>
  <c r="AM5" i="9"/>
  <c r="AM6" i="9" l="1"/>
  <c r="AL5" i="9"/>
  <c r="AL6" i="9" l="1"/>
  <c r="AK5" i="9"/>
  <c r="AK6" i="9" l="1"/>
  <c r="AJ5" i="9"/>
  <c r="AJ6" i="9" l="1"/>
  <c r="AI5" i="9"/>
  <c r="AI6" i="9" l="1"/>
  <c r="AH5" i="9"/>
  <c r="AH6" i="9" l="1"/>
  <c r="AG5" i="9"/>
  <c r="AG6" i="9" l="1"/>
  <c r="AF5" i="9"/>
  <c r="AF6" i="9" l="1"/>
  <c r="AE5" i="9"/>
  <c r="AE6" i="9" l="1"/>
  <c r="AD5" i="9"/>
  <c r="AD6" i="9" l="1"/>
  <c r="AC5" i="9"/>
  <c r="AC6" i="9" l="1"/>
  <c r="AB5" i="9"/>
  <c r="AB6" i="9" l="1"/>
  <c r="AA5" i="9"/>
  <c r="AA6" i="9" l="1"/>
  <c r="Z5" i="9"/>
  <c r="Z6" i="9" l="1"/>
  <c r="Y5" i="9"/>
  <c r="Y6" i="9" l="1"/>
  <c r="X5" i="9"/>
  <c r="X6" i="9" l="1"/>
  <c r="W5" i="9"/>
  <c r="W6" i="9" l="1"/>
  <c r="V5" i="9"/>
  <c r="V6" i="9" l="1"/>
  <c r="U5" i="9"/>
  <c r="U6" i="9" l="1"/>
  <c r="T5" i="9"/>
  <c r="T6" i="9" l="1"/>
  <c r="S5" i="9"/>
  <c r="S6" i="9" l="1"/>
  <c r="R5" i="9"/>
  <c r="R6" i="9" l="1"/>
  <c r="Q5" i="9"/>
  <c r="Q6" i="9" l="1"/>
  <c r="P5" i="9"/>
  <c r="P6" i="9" l="1"/>
  <c r="O5" i="9"/>
  <c r="O6" i="9" l="1"/>
  <c r="N5" i="9"/>
  <c r="N6" i="9" l="1"/>
  <c r="M5" i="9"/>
  <c r="M6" i="9" l="1"/>
  <c r="L5" i="9"/>
  <c r="L6" i="9" l="1"/>
  <c r="K5" i="9"/>
  <c r="K6" i="9" l="1"/>
  <c r="J5" i="9"/>
  <c r="J6" i="9" l="1"/>
  <c r="I5" i="9"/>
  <c r="I6" i="9" s="1"/>
  <c r="F83" i="2" l="1"/>
  <c r="F87" i="2"/>
  <c r="G87" i="2" s="1"/>
  <c r="F86" i="2"/>
  <c r="F15" i="2"/>
  <c r="I83" i="2"/>
  <c r="F69" i="2"/>
  <c r="F61" i="2"/>
  <c r="F23" i="2"/>
  <c r="F22" i="2"/>
  <c r="F21" i="2"/>
  <c r="F11" i="2"/>
  <c r="F13" i="2"/>
  <c r="D17" i="43" l="1"/>
  <c r="D14" i="43" s="1"/>
  <c r="D15" i="19"/>
  <c r="D16" i="19"/>
  <c r="D17" i="19"/>
  <c r="D15" i="17"/>
  <c r="D16" i="17"/>
  <c r="D17" i="17"/>
  <c r="I67" i="2"/>
  <c r="F67" i="2"/>
  <c r="F27" i="2"/>
  <c r="I27" i="2" s="1"/>
  <c r="I86" i="2"/>
  <c r="G86" i="2"/>
  <c r="F76" i="2"/>
  <c r="I87" i="2"/>
  <c r="I88" i="2"/>
  <c r="G88" i="2"/>
  <c r="F26" i="2"/>
  <c r="F71" i="2"/>
  <c r="F72" i="2"/>
  <c r="F85" i="2"/>
  <c r="F73" i="2"/>
  <c r="F74" i="2"/>
  <c r="F75" i="2"/>
  <c r="F70" i="2"/>
  <c r="F62" i="2"/>
  <c r="F66" i="2"/>
  <c r="F65" i="2"/>
  <c r="F64" i="2"/>
  <c r="D29" i="42" l="1"/>
  <c r="H34" i="43"/>
  <c r="C34" i="43"/>
  <c r="C35" i="43" s="1"/>
  <c r="I26" i="2"/>
  <c r="D18" i="19"/>
  <c r="D14" i="19" s="1"/>
  <c r="D18" i="17"/>
  <c r="D14" i="17" s="1"/>
  <c r="D7" i="17"/>
  <c r="D7" i="19"/>
  <c r="G75" i="2"/>
  <c r="G72" i="2"/>
  <c r="G70" i="2"/>
  <c r="G73" i="2"/>
  <c r="G71" i="2"/>
  <c r="G64" i="2"/>
  <c r="G74" i="2"/>
  <c r="G65" i="2"/>
  <c r="G66" i="2"/>
  <c r="G62" i="2"/>
  <c r="I85" i="2"/>
  <c r="I89" i="2" s="1"/>
  <c r="F89" i="2"/>
  <c r="F14" i="2"/>
  <c r="F12" i="2"/>
  <c r="C36" i="43" l="1"/>
  <c r="C37" i="43"/>
  <c r="F56" i="43"/>
  <c r="F57" i="43" s="1"/>
  <c r="F58" i="43" s="1"/>
  <c r="D67" i="38"/>
  <c r="D66" i="38" s="1"/>
  <c r="D9" i="17"/>
  <c r="D9" i="19"/>
  <c r="D11" i="17"/>
  <c r="D11" i="19"/>
  <c r="D8" i="17"/>
  <c r="D8" i="19"/>
  <c r="D10" i="17"/>
  <c r="D10" i="19"/>
  <c r="C58" i="43" l="1"/>
  <c r="C61" i="43" s="1"/>
  <c r="C62" i="43" s="1"/>
  <c r="C63" i="43" s="1"/>
  <c r="H24" i="43" s="1"/>
  <c r="H28" i="43" s="1"/>
  <c r="H29" i="43" s="1"/>
  <c r="H30" i="43" s="1"/>
  <c r="H31" i="43" s="1"/>
  <c r="H35" i="43" s="1"/>
  <c r="C40" i="43"/>
  <c r="D6" i="19"/>
  <c r="C28" i="19" s="1"/>
  <c r="D6" i="17"/>
  <c r="H37" i="43" l="1"/>
  <c r="H36" i="43"/>
  <c r="H40" i="43" s="1"/>
  <c r="K39" i="43" s="1"/>
  <c r="C29" i="19"/>
  <c r="C30" i="19" l="1"/>
  <c r="C31" i="19" s="1"/>
  <c r="C36" i="19" s="1"/>
  <c r="C39" i="19" l="1"/>
  <c r="C35" i="19" s="1"/>
  <c r="F64" i="19"/>
  <c r="F65" i="19" s="1"/>
  <c r="F66" i="19" s="1"/>
  <c r="C66" i="19"/>
  <c r="C37" i="19" l="1"/>
  <c r="C69" i="19"/>
  <c r="C70" i="19" s="1"/>
  <c r="C71" i="19" s="1"/>
  <c r="D47" i="39" l="1"/>
  <c r="G47" i="39"/>
  <c r="F48" i="39"/>
  <c r="D146" i="39" s="1"/>
  <c r="H48" i="39"/>
  <c r="D148" i="39" s="1"/>
  <c r="E48" i="39"/>
  <c r="D145" i="39" s="1"/>
  <c r="G48" i="39"/>
  <c r="D147" i="39" s="1"/>
  <c r="H47" i="39"/>
  <c r="E47" i="39"/>
  <c r="F47" i="39"/>
  <c r="D48" i="39"/>
  <c r="D144" i="39" s="1"/>
  <c r="H49" i="39" l="1"/>
  <c r="AB148" i="39" s="1"/>
  <c r="F49" i="39"/>
  <c r="F55" i="39" s="1"/>
  <c r="E49" i="39"/>
  <c r="AI145" i="39" s="1"/>
  <c r="G49" i="39"/>
  <c r="E147" i="39" s="1"/>
  <c r="D49" i="39"/>
  <c r="AB144" i="39" s="1"/>
  <c r="H52" i="39"/>
  <c r="Y157" i="39"/>
  <c r="E157" i="39"/>
  <c r="E106" i="39" s="1"/>
  <c r="O157" i="39"/>
  <c r="L157" i="39"/>
  <c r="T157" i="39"/>
  <c r="X157" i="39" l="1"/>
  <c r="X171" i="39" s="1"/>
  <c r="X195" i="39" s="1"/>
  <c r="AD157" i="39"/>
  <c r="AB155" i="39"/>
  <c r="AC157" i="39"/>
  <c r="AC164" i="39" s="1"/>
  <c r="T144" i="39"/>
  <c r="R157" i="39"/>
  <c r="R164" i="39" s="1"/>
  <c r="Z157" i="39"/>
  <c r="Z171" i="39" s="1"/>
  <c r="Z195" i="39" s="1"/>
  <c r="W155" i="39"/>
  <c r="T155" i="39"/>
  <c r="Y144" i="39"/>
  <c r="U155" i="39"/>
  <c r="K157" i="39"/>
  <c r="K171" i="39" s="1"/>
  <c r="K195" i="39" s="1"/>
  <c r="Q157" i="39"/>
  <c r="Q164" i="39" s="1"/>
  <c r="F155" i="39"/>
  <c r="Z144" i="39"/>
  <c r="AG157" i="39"/>
  <c r="H55" i="39"/>
  <c r="M157" i="39"/>
  <c r="Y155" i="39"/>
  <c r="AF148" i="39"/>
  <c r="U148" i="39"/>
  <c r="V148" i="39"/>
  <c r="M148" i="39"/>
  <c r="N148" i="39"/>
  <c r="P155" i="39"/>
  <c r="W157" i="39"/>
  <c r="W171" i="39" s="1"/>
  <c r="W195" i="39" s="1"/>
  <c r="H157" i="39"/>
  <c r="H171" i="39" s="1"/>
  <c r="H195" i="39" s="1"/>
  <c r="P148" i="39"/>
  <c r="J157" i="39"/>
  <c r="J171" i="39" s="1"/>
  <c r="J195" i="39" s="1"/>
  <c r="M155" i="39"/>
  <c r="AH157" i="39"/>
  <c r="AD145" i="39"/>
  <c r="U157" i="39"/>
  <c r="U171" i="39" s="1"/>
  <c r="U195" i="39" s="1"/>
  <c r="J155" i="39"/>
  <c r="AI157" i="39"/>
  <c r="AI171" i="39" s="1"/>
  <c r="AI195" i="39" s="1"/>
  <c r="AG155" i="39"/>
  <c r="Q155" i="39"/>
  <c r="S157" i="39"/>
  <c r="S164" i="39" s="1"/>
  <c r="G155" i="39"/>
  <c r="I155" i="39"/>
  <c r="F52" i="39"/>
  <c r="Z155" i="39"/>
  <c r="X145" i="39"/>
  <c r="X155" i="39"/>
  <c r="E155" i="39"/>
  <c r="E104" i="39" s="1"/>
  <c r="AA157" i="39"/>
  <c r="AA164" i="39" s="1"/>
  <c r="AE157" i="39"/>
  <c r="AE171" i="39" s="1"/>
  <c r="AE195" i="39" s="1"/>
  <c r="AF157" i="39"/>
  <c r="AF164" i="39" s="1"/>
  <c r="P157" i="39"/>
  <c r="G157" i="39"/>
  <c r="G164" i="39" s="1"/>
  <c r="K155" i="39"/>
  <c r="O155" i="39"/>
  <c r="V157" i="39"/>
  <c r="V164" i="39" s="1"/>
  <c r="AB157" i="39"/>
  <c r="AB164" i="39" s="1"/>
  <c r="I157" i="39"/>
  <c r="I164" i="39" s="1"/>
  <c r="F157" i="39"/>
  <c r="F171" i="39" s="1"/>
  <c r="F195" i="39" s="1"/>
  <c r="V155" i="39"/>
  <c r="H155" i="39"/>
  <c r="L146" i="39"/>
  <c r="AC144" i="39"/>
  <c r="AI148" i="39"/>
  <c r="Z146" i="39"/>
  <c r="X146" i="39"/>
  <c r="W148" i="39"/>
  <c r="M146" i="39"/>
  <c r="AD155" i="39"/>
  <c r="AH155" i="39"/>
  <c r="L155" i="39"/>
  <c r="N157" i="39"/>
  <c r="AE144" i="39"/>
  <c r="X148" i="39"/>
  <c r="AA146" i="39"/>
  <c r="S155" i="39"/>
  <c r="N155" i="39"/>
  <c r="P144" i="39"/>
  <c r="Y148" i="39"/>
  <c r="S146" i="39"/>
  <c r="AE155" i="39"/>
  <c r="R155" i="39"/>
  <c r="AI155" i="39"/>
  <c r="R144" i="39"/>
  <c r="O148" i="39"/>
  <c r="F146" i="39"/>
  <c r="AF155" i="39"/>
  <c r="AA155" i="39"/>
  <c r="AC155" i="39"/>
  <c r="AF144" i="39"/>
  <c r="AC148" i="39"/>
  <c r="AI146" i="39"/>
  <c r="X144" i="39"/>
  <c r="AD148" i="39"/>
  <c r="E146" i="39"/>
  <c r="F147" i="39"/>
  <c r="Q144" i="39"/>
  <c r="J144" i="39"/>
  <c r="O144" i="39"/>
  <c r="M147" i="39"/>
  <c r="S147" i="39"/>
  <c r="P145" i="39"/>
  <c r="V145" i="39"/>
  <c r="N146" i="39"/>
  <c r="AB147" i="39"/>
  <c r="AH147" i="39"/>
  <c r="S144" i="39"/>
  <c r="F144" i="39"/>
  <c r="I147" i="39"/>
  <c r="AC147" i="39"/>
  <c r="E145" i="39"/>
  <c r="W145" i="39"/>
  <c r="AB146" i="39"/>
  <c r="AG146" i="39"/>
  <c r="N147" i="39"/>
  <c r="R145" i="39"/>
  <c r="AG144" i="39"/>
  <c r="AH144" i="39"/>
  <c r="W147" i="39"/>
  <c r="AD147" i="39"/>
  <c r="R148" i="39"/>
  <c r="H148" i="39"/>
  <c r="Q148" i="39"/>
  <c r="S145" i="39"/>
  <c r="J145" i="39"/>
  <c r="O146" i="39"/>
  <c r="T146" i="39"/>
  <c r="O147" i="39"/>
  <c r="G144" i="39"/>
  <c r="K144" i="39"/>
  <c r="G147" i="39"/>
  <c r="AF147" i="39"/>
  <c r="E148" i="39"/>
  <c r="I148" i="39"/>
  <c r="AE148" i="39"/>
  <c r="AG145" i="39"/>
  <c r="K145" i="39"/>
  <c r="AC146" i="39"/>
  <c r="AH146" i="39"/>
  <c r="T147" i="39"/>
  <c r="U144" i="39"/>
  <c r="L144" i="39"/>
  <c r="AI147" i="39"/>
  <c r="K147" i="39"/>
  <c r="S148" i="39"/>
  <c r="J148" i="39"/>
  <c r="N145" i="39"/>
  <c r="F145" i="39"/>
  <c r="Y145" i="39"/>
  <c r="P146" i="39"/>
  <c r="G146" i="39"/>
  <c r="H145" i="39"/>
  <c r="U147" i="39"/>
  <c r="AI144" i="39"/>
  <c r="M144" i="39"/>
  <c r="J147" i="39"/>
  <c r="P147" i="39"/>
  <c r="AG148" i="39"/>
  <c r="K148" i="39"/>
  <c r="AB145" i="39"/>
  <c r="T145" i="39"/>
  <c r="L145" i="39"/>
  <c r="AD146" i="39"/>
  <c r="U146" i="39"/>
  <c r="AA147" i="39"/>
  <c r="Q145" i="39"/>
  <c r="H144" i="39"/>
  <c r="AA144" i="39"/>
  <c r="X147" i="39"/>
  <c r="Q147" i="39"/>
  <c r="F148" i="39"/>
  <c r="L148" i="39"/>
  <c r="O145" i="39"/>
  <c r="AH145" i="39"/>
  <c r="Z145" i="39"/>
  <c r="Q146" i="39"/>
  <c r="H146" i="39"/>
  <c r="V147" i="39"/>
  <c r="V144" i="39"/>
  <c r="E144" i="39"/>
  <c r="Y147" i="39"/>
  <c r="AE147" i="39"/>
  <c r="T148" i="39"/>
  <c r="Z148" i="39"/>
  <c r="AC145" i="39"/>
  <c r="G145" i="39"/>
  <c r="K146" i="39"/>
  <c r="AE146" i="39"/>
  <c r="V146" i="39"/>
  <c r="AG147" i="39"/>
  <c r="H147" i="39"/>
  <c r="AF145" i="39"/>
  <c r="I144" i="39"/>
  <c r="N144" i="39"/>
  <c r="L147" i="39"/>
  <c r="R147" i="39"/>
  <c r="AH148" i="39"/>
  <c r="AA148" i="39"/>
  <c r="M145" i="39"/>
  <c r="U145" i="39"/>
  <c r="Y146" i="39"/>
  <c r="R146" i="39"/>
  <c r="I146" i="39"/>
  <c r="AE145" i="39"/>
  <c r="I145" i="39"/>
  <c r="AD144" i="39"/>
  <c r="W144" i="39"/>
  <c r="Z147" i="39"/>
  <c r="G148" i="39"/>
  <c r="AA145" i="39"/>
  <c r="J146" i="39"/>
  <c r="AF146" i="39"/>
  <c r="W146" i="39"/>
  <c r="E113" i="39"/>
  <c r="E120" i="39"/>
  <c r="E111" i="39"/>
  <c r="AG171" i="39"/>
  <c r="AG195" i="39" s="1"/>
  <c r="AH164" i="39"/>
  <c r="T171" i="39"/>
  <c r="T195" i="39" s="1"/>
  <c r="Y164" i="39"/>
  <c r="AG164" i="39"/>
  <c r="Y171" i="39"/>
  <c r="Y195" i="39" s="1"/>
  <c r="J164" i="39"/>
  <c r="AC171" i="39"/>
  <c r="AC195" i="39" s="1"/>
  <c r="U164" i="39"/>
  <c r="AD164" i="39"/>
  <c r="AD171" i="39"/>
  <c r="AD195" i="39" s="1"/>
  <c r="T164" i="39"/>
  <c r="Q156" i="39"/>
  <c r="W156" i="39"/>
  <c r="R156" i="39"/>
  <c r="AB156" i="39"/>
  <c r="X156" i="39"/>
  <c r="Z156" i="39"/>
  <c r="Y156" i="39"/>
  <c r="AC156" i="39"/>
  <c r="I156" i="39"/>
  <c r="K156" i="39"/>
  <c r="L156" i="39"/>
  <c r="AE156" i="39"/>
  <c r="AF156" i="39"/>
  <c r="E156" i="39"/>
  <c r="E105" i="39" s="1"/>
  <c r="F156" i="39"/>
  <c r="H156" i="39"/>
  <c r="AA156" i="39"/>
  <c r="AG156" i="39"/>
  <c r="S156" i="39"/>
  <c r="N156" i="39"/>
  <c r="AH156" i="39"/>
  <c r="AD156" i="39"/>
  <c r="U156" i="39"/>
  <c r="T156" i="39"/>
  <c r="O156" i="39"/>
  <c r="V156" i="39"/>
  <c r="M156" i="39"/>
  <c r="G156" i="39"/>
  <c r="G52" i="39"/>
  <c r="AI156" i="39"/>
  <c r="P156" i="39"/>
  <c r="J156" i="39"/>
  <c r="G55" i="39"/>
  <c r="I154" i="39"/>
  <c r="U154" i="39"/>
  <c r="R154" i="39"/>
  <c r="N154" i="39"/>
  <c r="V154" i="39"/>
  <c r="F154" i="39"/>
  <c r="AF154" i="39"/>
  <c r="AG154" i="39"/>
  <c r="AH154" i="39"/>
  <c r="AD154" i="39"/>
  <c r="E154" i="39"/>
  <c r="E103" i="39" s="1"/>
  <c r="G154" i="39"/>
  <c r="L154" i="39"/>
  <c r="M154" i="39"/>
  <c r="P154" i="39"/>
  <c r="K154" i="39"/>
  <c r="T154" i="39"/>
  <c r="Y154" i="39"/>
  <c r="AA154" i="39"/>
  <c r="AI154" i="39"/>
  <c r="E55" i="39"/>
  <c r="J154" i="39"/>
  <c r="Z154" i="39"/>
  <c r="O154" i="39"/>
  <c r="X154" i="39"/>
  <c r="Q154" i="39"/>
  <c r="E52" i="39"/>
  <c r="AC154" i="39"/>
  <c r="S154" i="39"/>
  <c r="H154" i="39"/>
  <c r="AB154" i="39"/>
  <c r="AE154" i="39"/>
  <c r="W154" i="39"/>
  <c r="N153" i="39"/>
  <c r="U153" i="39"/>
  <c r="AC153" i="39"/>
  <c r="AB153" i="39"/>
  <c r="J153" i="39"/>
  <c r="L153" i="39"/>
  <c r="T153" i="39"/>
  <c r="R153" i="39"/>
  <c r="AG153" i="39"/>
  <c r="X153" i="39"/>
  <c r="V153" i="39"/>
  <c r="F153" i="39"/>
  <c r="O153" i="39"/>
  <c r="M153" i="39"/>
  <c r="S153" i="39"/>
  <c r="D55" i="39"/>
  <c r="AI153" i="39"/>
  <c r="I153" i="39"/>
  <c r="AH153" i="39"/>
  <c r="E153" i="39"/>
  <c r="AE153" i="39"/>
  <c r="Y153" i="39"/>
  <c r="P153" i="39"/>
  <c r="AA153" i="39"/>
  <c r="D52" i="39"/>
  <c r="K153" i="39"/>
  <c r="Z153" i="39"/>
  <c r="H153" i="39"/>
  <c r="AD153" i="39"/>
  <c r="W153" i="39"/>
  <c r="G153" i="39"/>
  <c r="Q153" i="39"/>
  <c r="AF153" i="39"/>
  <c r="AH171" i="39"/>
  <c r="AH195" i="39" s="1"/>
  <c r="AD188" i="39" l="1"/>
  <c r="AE41" i="38"/>
  <c r="U188" i="39"/>
  <c r="V41" i="38"/>
  <c r="AB188" i="39"/>
  <c r="AC41" i="38"/>
  <c r="V188" i="39"/>
  <c r="W41" i="38"/>
  <c r="J188" i="39"/>
  <c r="K41" i="38"/>
  <c r="R188" i="39"/>
  <c r="R113" i="39" s="1"/>
  <c r="S41" i="38"/>
  <c r="AH188" i="39"/>
  <c r="AH113" i="39" s="1"/>
  <c r="AI41" i="38"/>
  <c r="AA188" i="39"/>
  <c r="AC188" i="39"/>
  <c r="AD41" i="38"/>
  <c r="I188" i="39"/>
  <c r="I113" i="39" s="1"/>
  <c r="G188" i="39"/>
  <c r="S188" i="39"/>
  <c r="T41" i="38"/>
  <c r="Q188" i="39"/>
  <c r="Q113" i="39" s="1"/>
  <c r="AG188" i="39"/>
  <c r="AG113" i="39" s="1"/>
  <c r="AH41" i="38"/>
  <c r="Y188" i="39"/>
  <c r="AF188" i="39"/>
  <c r="AF113" i="39" s="1"/>
  <c r="T188" i="39"/>
  <c r="T113" i="39" s="1"/>
  <c r="U41" i="38"/>
  <c r="E118" i="39"/>
  <c r="X164" i="39"/>
  <c r="AE164" i="39"/>
  <c r="AG41" i="38" s="1"/>
  <c r="AA171" i="39"/>
  <c r="AA195" i="39" s="1"/>
  <c r="AB92" i="38" s="1"/>
  <c r="AA120" i="39" s="1"/>
  <c r="AI164" i="39"/>
  <c r="Z164" i="39"/>
  <c r="R171" i="39"/>
  <c r="R195" i="39" s="1"/>
  <c r="S92" i="38" s="1"/>
  <c r="R120" i="39" s="1"/>
  <c r="AF171" i="39"/>
  <c r="AF195" i="39" s="1"/>
  <c r="AG92" i="38" s="1"/>
  <c r="AF120" i="39" s="1"/>
  <c r="W169" i="39"/>
  <c r="W193" i="39" s="1"/>
  <c r="AC150" i="39"/>
  <c r="AC98" i="39" s="1"/>
  <c r="M150" i="39"/>
  <c r="M98" i="39" s="1"/>
  <c r="G171" i="39"/>
  <c r="G195" i="39" s="1"/>
  <c r="H92" i="38" s="1"/>
  <c r="G120" i="39" s="1"/>
  <c r="S171" i="39"/>
  <c r="S195" i="39" s="1"/>
  <c r="T92" i="38" s="1"/>
  <c r="S120" i="39" s="1"/>
  <c r="E89" i="39"/>
  <c r="E116" i="39"/>
  <c r="O150" i="39"/>
  <c r="O98" i="39" s="1"/>
  <c r="U150" i="39"/>
  <c r="U98" i="39" s="1"/>
  <c r="Z150" i="39"/>
  <c r="Z98" i="39" s="1"/>
  <c r="X150" i="39"/>
  <c r="X98" i="39" s="1"/>
  <c r="AG150" i="39"/>
  <c r="AG98" i="39" s="1"/>
  <c r="H150" i="39"/>
  <c r="H98" i="39" s="1"/>
  <c r="E150" i="39"/>
  <c r="E98" i="39" s="1"/>
  <c r="J150" i="39"/>
  <c r="J98" i="39" s="1"/>
  <c r="W150" i="39"/>
  <c r="W98" i="39" s="1"/>
  <c r="AD150" i="39"/>
  <c r="AD98" i="39" s="1"/>
  <c r="S150" i="39"/>
  <c r="S98" i="39" s="1"/>
  <c r="N150" i="39"/>
  <c r="N98" i="39" s="1"/>
  <c r="K150" i="39"/>
  <c r="K98" i="39" s="1"/>
  <c r="V150" i="39"/>
  <c r="V98" i="39" s="1"/>
  <c r="AA150" i="39"/>
  <c r="AA98" i="39" s="1"/>
  <c r="P150" i="39"/>
  <c r="P98" i="39" s="1"/>
  <c r="Y150" i="39"/>
  <c r="Y98" i="39" s="1"/>
  <c r="R150" i="39"/>
  <c r="R98" i="39" s="1"/>
  <c r="AE150" i="39"/>
  <c r="AE98" i="39" s="1"/>
  <c r="T150" i="39"/>
  <c r="T98" i="39" s="1"/>
  <c r="F150" i="39"/>
  <c r="F98" i="39" s="1"/>
  <c r="L150" i="39"/>
  <c r="L98" i="39" s="1"/>
  <c r="AF150" i="39"/>
  <c r="AF98" i="39" s="1"/>
  <c r="AH150" i="39"/>
  <c r="AH98" i="39" s="1"/>
  <c r="Q150" i="39"/>
  <c r="Q98" i="39" s="1"/>
  <c r="I150" i="39"/>
  <c r="I98" i="39" s="1"/>
  <c r="AB150" i="39"/>
  <c r="AB98" i="39" s="1"/>
  <c r="G150" i="39"/>
  <c r="G98" i="39" s="1"/>
  <c r="AI150" i="39"/>
  <c r="AI98" i="39" s="1"/>
  <c r="E102" i="39"/>
  <c r="E101" i="39" s="1"/>
  <c r="Z162" i="39"/>
  <c r="AG162" i="39"/>
  <c r="L171" i="39"/>
  <c r="L195" i="39" s="1"/>
  <c r="AE169" i="39"/>
  <c r="AE193" i="39" s="1"/>
  <c r="I169" i="39"/>
  <c r="I193" i="39" s="1"/>
  <c r="F164" i="39"/>
  <c r="G41" i="38" s="1"/>
  <c r="R169" i="39"/>
  <c r="R193" i="39" s="1"/>
  <c r="W162" i="39"/>
  <c r="S162" i="39"/>
  <c r="AB162" i="39"/>
  <c r="W164" i="39"/>
  <c r="X41" i="38" s="1"/>
  <c r="I171" i="39"/>
  <c r="I195" i="39" s="1"/>
  <c r="H169" i="39"/>
  <c r="H193" i="39" s="1"/>
  <c r="D157" i="39"/>
  <c r="T162" i="39"/>
  <c r="U162" i="39"/>
  <c r="V39" i="38" s="1"/>
  <c r="V171" i="39"/>
  <c r="V195" i="39" s="1"/>
  <c r="AH169" i="39"/>
  <c r="AH193" i="39" s="1"/>
  <c r="AB169" i="39"/>
  <c r="AB193" i="39" s="1"/>
  <c r="AG169" i="39"/>
  <c r="AG193" i="39" s="1"/>
  <c r="H164" i="39"/>
  <c r="I41" i="38" s="1"/>
  <c r="K164" i="39"/>
  <c r="L41" i="38" s="1"/>
  <c r="R162" i="39"/>
  <c r="S39" i="38" s="1"/>
  <c r="Z169" i="39"/>
  <c r="Z193" i="39" s="1"/>
  <c r="AD162" i="39"/>
  <c r="T169" i="39"/>
  <c r="T193" i="39" s="1"/>
  <c r="P162" i="39"/>
  <c r="P169" i="39"/>
  <c r="P193" i="39" s="1"/>
  <c r="F162" i="39"/>
  <c r="O169" i="39"/>
  <c r="O193" i="39" s="1"/>
  <c r="Q171" i="39"/>
  <c r="Q195" i="39" s="1"/>
  <c r="AI169" i="39"/>
  <c r="AI193" i="39" s="1"/>
  <c r="Q162" i="39"/>
  <c r="I162" i="39"/>
  <c r="J39" i="38" s="1"/>
  <c r="F169" i="39"/>
  <c r="F193" i="39" s="1"/>
  <c r="S169" i="39"/>
  <c r="S193" i="39" s="1"/>
  <c r="G169" i="39"/>
  <c r="G193" i="39" s="1"/>
  <c r="X162" i="39"/>
  <c r="Y39" i="38" s="1"/>
  <c r="AB171" i="39"/>
  <c r="AB195" i="39" s="1"/>
  <c r="V162" i="39"/>
  <c r="V169" i="39"/>
  <c r="V193" i="39" s="1"/>
  <c r="AH162" i="39"/>
  <c r="X169" i="39"/>
  <c r="X193" i="39" s="1"/>
  <c r="AI162" i="39"/>
  <c r="AJ39" i="38" s="1"/>
  <c r="H162" i="39"/>
  <c r="AD169" i="39"/>
  <c r="AD193" i="39" s="1"/>
  <c r="G162" i="39"/>
  <c r="H39" i="38" s="1"/>
  <c r="AC169" i="39"/>
  <c r="AC193" i="39" s="1"/>
  <c r="Q169" i="39"/>
  <c r="Q193" i="39" s="1"/>
  <c r="AE162" i="39"/>
  <c r="AA162" i="39"/>
  <c r="AB39" i="38" s="1"/>
  <c r="O162" i="39"/>
  <c r="AF169" i="39"/>
  <c r="AF193" i="39" s="1"/>
  <c r="Y162" i="39"/>
  <c r="U169" i="39"/>
  <c r="U193" i="39" s="1"/>
  <c r="Y169" i="39"/>
  <c r="Y193" i="39" s="1"/>
  <c r="AA169" i="39"/>
  <c r="AA193" i="39" s="1"/>
  <c r="AF162" i="39"/>
  <c r="AC162" i="39"/>
  <c r="D155" i="39"/>
  <c r="E109" i="39"/>
  <c r="E112" i="39"/>
  <c r="E119" i="39"/>
  <c r="E110" i="39"/>
  <c r="E117" i="39"/>
  <c r="G160" i="39"/>
  <c r="AB163" i="39"/>
  <c r="I163" i="39"/>
  <c r="AD163" i="39"/>
  <c r="AE40" i="38" s="1"/>
  <c r="Q160" i="39"/>
  <c r="X160" i="39"/>
  <c r="Z160" i="39"/>
  <c r="AC163" i="39"/>
  <c r="X170" i="39"/>
  <c r="X194" i="39" s="1"/>
  <c r="AH161" i="39"/>
  <c r="F170" i="39"/>
  <c r="F194" i="39" s="1"/>
  <c r="N160" i="39"/>
  <c r="Z163" i="39"/>
  <c r="V170" i="39"/>
  <c r="V194" i="39" s="1"/>
  <c r="G170" i="39"/>
  <c r="G194" i="39" s="1"/>
  <c r="AE163" i="39"/>
  <c r="U170" i="39"/>
  <c r="U194" i="39" s="1"/>
  <c r="AE170" i="39"/>
  <c r="AE194" i="39" s="1"/>
  <c r="AC170" i="39"/>
  <c r="AC194" i="39" s="1"/>
  <c r="H170" i="39"/>
  <c r="H194" i="39" s="1"/>
  <c r="I170" i="39"/>
  <c r="I194" i="39" s="1"/>
  <c r="Y163" i="39"/>
  <c r="X163" i="39"/>
  <c r="AG163" i="39"/>
  <c r="AE168" i="39"/>
  <c r="AE192" i="39" s="1"/>
  <c r="S170" i="39"/>
  <c r="S194" i="39" s="1"/>
  <c r="AF160" i="39"/>
  <c r="H69" i="39"/>
  <c r="AE92" i="38"/>
  <c r="AD120" i="39" s="1"/>
  <c r="AK92" i="38"/>
  <c r="I92" i="38"/>
  <c r="H120" i="39" s="1"/>
  <c r="L92" i="38"/>
  <c r="K120" i="39" s="1"/>
  <c r="AD92" i="38"/>
  <c r="AC120" i="39" s="1"/>
  <c r="AA92" i="38"/>
  <c r="Z120" i="39" s="1"/>
  <c r="Z92" i="38"/>
  <c r="Y120" i="39" s="1"/>
  <c r="K92" i="38"/>
  <c r="J120" i="39" s="1"/>
  <c r="Y92" i="38"/>
  <c r="X120" i="39" s="1"/>
  <c r="AJ92" i="38"/>
  <c r="AI120" i="39" s="1"/>
  <c r="X92" i="38"/>
  <c r="W120" i="39" s="1"/>
  <c r="V92" i="38"/>
  <c r="U120" i="39" s="1"/>
  <c r="U92" i="38"/>
  <c r="T120" i="39" s="1"/>
  <c r="AF92" i="38"/>
  <c r="AE120" i="39" s="1"/>
  <c r="G92" i="38"/>
  <c r="F120" i="39" s="1"/>
  <c r="AH92" i="38"/>
  <c r="AG120" i="39" s="1"/>
  <c r="AI92" i="38"/>
  <c r="AH120" i="39" s="1"/>
  <c r="M160" i="39"/>
  <c r="AE167" i="39"/>
  <c r="AE191" i="39" s="1"/>
  <c r="E64" i="39"/>
  <c r="G64" i="39"/>
  <c r="AK88" i="38"/>
  <c r="G69" i="39"/>
  <c r="AK91" i="38"/>
  <c r="AI170" i="39"/>
  <c r="AI194" i="39" s="1"/>
  <c r="H163" i="39"/>
  <c r="H64" i="39"/>
  <c r="Y113" i="39"/>
  <c r="AA113" i="39"/>
  <c r="AB113" i="39"/>
  <c r="AC113" i="39"/>
  <c r="S113" i="39"/>
  <c r="V113" i="39"/>
  <c r="J113" i="39"/>
  <c r="AD113" i="39"/>
  <c r="U113" i="39"/>
  <c r="G113" i="39"/>
  <c r="O167" i="39"/>
  <c r="O191" i="39" s="1"/>
  <c r="AF163" i="39"/>
  <c r="U163" i="39"/>
  <c r="T163" i="39"/>
  <c r="F64" i="39"/>
  <c r="AH167" i="39"/>
  <c r="AH191" i="39" s="1"/>
  <c r="T160" i="39"/>
  <c r="Y161" i="39"/>
  <c r="AD170" i="39"/>
  <c r="AD194" i="39" s="1"/>
  <c r="V160" i="39"/>
  <c r="X161" i="39"/>
  <c r="Y38" i="38" s="1"/>
  <c r="AG170" i="39"/>
  <c r="AG194" i="39" s="1"/>
  <c r="AF170" i="39"/>
  <c r="AF194" i="39" s="1"/>
  <c r="Q170" i="39"/>
  <c r="Q194" i="39" s="1"/>
  <c r="Y170" i="39"/>
  <c r="Y194" i="39" s="1"/>
  <c r="AB170" i="39"/>
  <c r="AB194" i="39" s="1"/>
  <c r="U167" i="39"/>
  <c r="U191" i="39" s="1"/>
  <c r="S163" i="39"/>
  <c r="R170" i="39"/>
  <c r="R194" i="39" s="1"/>
  <c r="F69" i="39"/>
  <c r="AK90" i="38"/>
  <c r="Y167" i="39"/>
  <c r="Y191" i="39" s="1"/>
  <c r="P170" i="39"/>
  <c r="P194" i="39" s="1"/>
  <c r="Z170" i="39"/>
  <c r="Z194" i="39" s="1"/>
  <c r="F163" i="39"/>
  <c r="T170" i="39"/>
  <c r="T194" i="39" s="1"/>
  <c r="W163" i="39"/>
  <c r="E69" i="39"/>
  <c r="AK89" i="38"/>
  <c r="H161" i="39"/>
  <c r="AB167" i="39"/>
  <c r="AB191" i="39" s="1"/>
  <c r="W160" i="39"/>
  <c r="AF167" i="39"/>
  <c r="L167" i="39"/>
  <c r="AG161" i="39"/>
  <c r="AC168" i="39"/>
  <c r="AC192" i="39" s="1"/>
  <c r="V168" i="39"/>
  <c r="V192" i="39" s="1"/>
  <c r="P161" i="39"/>
  <c r="Q38" i="38" s="1"/>
  <c r="D156" i="39"/>
  <c r="T167" i="39"/>
  <c r="T191" i="39" s="1"/>
  <c r="O160" i="39"/>
  <c r="AI167" i="39"/>
  <c r="AI191" i="39" s="1"/>
  <c r="L160" i="39"/>
  <c r="W161" i="39"/>
  <c r="AI163" i="39"/>
  <c r="O161" i="39"/>
  <c r="AF168" i="39"/>
  <c r="AF192" i="39" s="1"/>
  <c r="AE160" i="39"/>
  <c r="M167" i="39"/>
  <c r="M191" i="39" s="1"/>
  <c r="AC160" i="39"/>
  <c r="G167" i="39"/>
  <c r="P168" i="39"/>
  <c r="P192" i="39" s="1"/>
  <c r="AE161" i="39"/>
  <c r="G161" i="39"/>
  <c r="AD168" i="39"/>
  <c r="AD192" i="39" s="1"/>
  <c r="P163" i="39"/>
  <c r="H168" i="39"/>
  <c r="H192" i="39" s="1"/>
  <c r="R160" i="39"/>
  <c r="U168" i="39"/>
  <c r="U192" i="39" s="1"/>
  <c r="S161" i="39"/>
  <c r="W170" i="39"/>
  <c r="W194" i="39" s="1"/>
  <c r="AB160" i="39"/>
  <c r="Y160" i="39"/>
  <c r="G168" i="39"/>
  <c r="G192" i="39" s="1"/>
  <c r="Z161" i="39"/>
  <c r="Y168" i="39"/>
  <c r="Y192" i="39" s="1"/>
  <c r="AI161" i="39"/>
  <c r="N161" i="39"/>
  <c r="G163" i="39"/>
  <c r="AF161" i="39"/>
  <c r="Q168" i="39"/>
  <c r="Q192" i="39" s="1"/>
  <c r="V167" i="39"/>
  <c r="S160" i="39"/>
  <c r="Q167" i="39"/>
  <c r="AD160" i="39"/>
  <c r="U161" i="39"/>
  <c r="V38" i="38" s="1"/>
  <c r="T161" i="39"/>
  <c r="F168" i="39"/>
  <c r="F192" i="39" s="1"/>
  <c r="N168" i="39"/>
  <c r="N192" i="39" s="1"/>
  <c r="D154" i="39"/>
  <c r="Q163" i="39"/>
  <c r="J163" i="39"/>
  <c r="K40" i="38" s="1"/>
  <c r="AB161" i="39"/>
  <c r="AB168" i="39"/>
  <c r="AB192" i="39" s="1"/>
  <c r="R167" i="39"/>
  <c r="W167" i="39"/>
  <c r="W191" i="39" s="1"/>
  <c r="F167" i="39"/>
  <c r="F191" i="39" s="1"/>
  <c r="N167" i="39"/>
  <c r="S167" i="39"/>
  <c r="Z168" i="39"/>
  <c r="Z192" i="39" s="1"/>
  <c r="Q161" i="39"/>
  <c r="R161" i="39"/>
  <c r="AA161" i="39"/>
  <c r="V161" i="39"/>
  <c r="W38" i="38" s="1"/>
  <c r="X168" i="39"/>
  <c r="X192" i="39" s="1"/>
  <c r="R163" i="39"/>
  <c r="S40" i="38" s="1"/>
  <c r="AI168" i="39"/>
  <c r="AI192" i="39" s="1"/>
  <c r="U160" i="39"/>
  <c r="AC167" i="39"/>
  <c r="AC191" i="39" s="1"/>
  <c r="AG167" i="39"/>
  <c r="AA160" i="39"/>
  <c r="F161" i="39"/>
  <c r="AA168" i="39"/>
  <c r="AA192" i="39" s="1"/>
  <c r="T168" i="39"/>
  <c r="T192" i="39" s="1"/>
  <c r="W168" i="39"/>
  <c r="W192" i="39" s="1"/>
  <c r="AA170" i="39"/>
  <c r="AA194" i="39" s="1"/>
  <c r="AH168" i="39"/>
  <c r="AH192" i="39" s="1"/>
  <c r="O168" i="39"/>
  <c r="O192" i="39" s="1"/>
  <c r="AA167" i="39"/>
  <c r="AH160" i="39"/>
  <c r="AD167" i="39"/>
  <c r="AD191" i="39" s="1"/>
  <c r="P167" i="39"/>
  <c r="P191" i="39" s="1"/>
  <c r="Z167" i="39"/>
  <c r="AG160" i="39"/>
  <c r="AD161" i="39"/>
  <c r="S168" i="39"/>
  <c r="S192" i="39" s="1"/>
  <c r="AG168" i="39"/>
  <c r="AG192" i="39" s="1"/>
  <c r="AA163" i="39"/>
  <c r="D64" i="39"/>
  <c r="J170" i="39"/>
  <c r="J194" i="39" s="1"/>
  <c r="X167" i="39"/>
  <c r="AI160" i="39"/>
  <c r="P160" i="39"/>
  <c r="F160" i="39"/>
  <c r="AC161" i="39"/>
  <c r="V163" i="39"/>
  <c r="D153" i="39"/>
  <c r="R168" i="39"/>
  <c r="R192" i="39" s="1"/>
  <c r="AH163" i="39"/>
  <c r="AH170" i="39"/>
  <c r="AH194" i="39" s="1"/>
  <c r="AA40" i="38" l="1"/>
  <c r="H41" i="38"/>
  <c r="V40" i="38"/>
  <c r="AH40" i="38"/>
  <c r="X40" i="38"/>
  <c r="AF40" i="38"/>
  <c r="AC40" i="38"/>
  <c r="AE39" i="38"/>
  <c r="AA39" i="38"/>
  <c r="Z188" i="39"/>
  <c r="Z113" i="39" s="1"/>
  <c r="AA41" i="38"/>
  <c r="J41" i="38"/>
  <c r="AI188" i="39"/>
  <c r="AI113" i="39" s="1"/>
  <c r="AJ41" i="38"/>
  <c r="X188" i="39"/>
  <c r="X113" i="39" s="1"/>
  <c r="Y41" i="38"/>
  <c r="Z41" i="38"/>
  <c r="AB41" i="38"/>
  <c r="AE188" i="39"/>
  <c r="AE113" i="39" s="1"/>
  <c r="AF41" i="38"/>
  <c r="Y187" i="39"/>
  <c r="Z40" i="38"/>
  <c r="AD40" i="38"/>
  <c r="T40" i="38"/>
  <c r="U40" i="38"/>
  <c r="F187" i="39"/>
  <c r="G40" i="38"/>
  <c r="X187" i="39"/>
  <c r="X112" i="39" s="1"/>
  <c r="Y40" i="38"/>
  <c r="AI187" i="39"/>
  <c r="AI112" i="39" s="1"/>
  <c r="AJ40" i="38"/>
  <c r="I40" i="38"/>
  <c r="AA187" i="39"/>
  <c r="AA112" i="39" s="1"/>
  <c r="AB40" i="38"/>
  <c r="AG40" i="38"/>
  <c r="G187" i="39"/>
  <c r="H40" i="38"/>
  <c r="Q187" i="39"/>
  <c r="Q112" i="39" s="1"/>
  <c r="R40" i="38"/>
  <c r="AH187" i="39"/>
  <c r="AH112" i="39" s="1"/>
  <c r="AI40" i="38"/>
  <c r="V187" i="39"/>
  <c r="V112" i="39" s="1"/>
  <c r="W40" i="38"/>
  <c r="P187" i="39"/>
  <c r="P112" i="39" s="1"/>
  <c r="J40" i="38"/>
  <c r="W186" i="39"/>
  <c r="W111" i="39" s="1"/>
  <c r="X39" i="38"/>
  <c r="Q186" i="39"/>
  <c r="Q111" i="39" s="1"/>
  <c r="R39" i="38"/>
  <c r="AC186" i="39"/>
  <c r="AC111" i="39" s="1"/>
  <c r="AD39" i="38"/>
  <c r="I39" i="38"/>
  <c r="S186" i="39"/>
  <c r="S111" i="39" s="1"/>
  <c r="T39" i="38"/>
  <c r="AH39" i="38"/>
  <c r="F186" i="39"/>
  <c r="G39" i="38"/>
  <c r="U39" i="38"/>
  <c r="AG39" i="38"/>
  <c r="AH186" i="39"/>
  <c r="AH111" i="39" s="1"/>
  <c r="AI39" i="38"/>
  <c r="AF39" i="38"/>
  <c r="Q39" i="38"/>
  <c r="AB186" i="39"/>
  <c r="AB111" i="39" s="1"/>
  <c r="AC39" i="38"/>
  <c r="Y186" i="39"/>
  <c r="Y111" i="39" s="1"/>
  <c r="Z39" i="38"/>
  <c r="V186" i="39"/>
  <c r="V111" i="39" s="1"/>
  <c r="W39" i="38"/>
  <c r="G185" i="39"/>
  <c r="H38" i="38"/>
  <c r="Z185" i="39"/>
  <c r="AA38" i="38"/>
  <c r="Q185" i="39"/>
  <c r="R38" i="38"/>
  <c r="T185" i="39"/>
  <c r="U38" i="38"/>
  <c r="AG185" i="39"/>
  <c r="AG110" i="39" s="1"/>
  <c r="AH38" i="38"/>
  <c r="AI38" i="38"/>
  <c r="AB185" i="39"/>
  <c r="AC38" i="38"/>
  <c r="AE185" i="39"/>
  <c r="AE110" i="39" s="1"/>
  <c r="AF38" i="38"/>
  <c r="F185" i="39"/>
  <c r="G38" i="38"/>
  <c r="T38" i="38"/>
  <c r="O185" i="39"/>
  <c r="P38" i="38"/>
  <c r="AA185" i="39"/>
  <c r="AB38" i="38"/>
  <c r="R185" i="39"/>
  <c r="R110" i="39" s="1"/>
  <c r="S38" i="38"/>
  <c r="W185" i="39"/>
  <c r="X38" i="38"/>
  <c r="I38" i="38"/>
  <c r="Z38" i="38"/>
  <c r="AD185" i="39"/>
  <c r="AE38" i="38"/>
  <c r="AC185" i="39"/>
  <c r="AC110" i="39" s="1"/>
  <c r="AD38" i="38"/>
  <c r="AI185" i="39"/>
  <c r="AJ38" i="38"/>
  <c r="AF185" i="39"/>
  <c r="AF110" i="39" s="1"/>
  <c r="AG38" i="38"/>
  <c r="AG184" i="39"/>
  <c r="AG109" i="39" s="1"/>
  <c r="AH37" i="38"/>
  <c r="O184" i="39"/>
  <c r="P37" i="38"/>
  <c r="F184" i="39"/>
  <c r="F177" i="39" s="1"/>
  <c r="G37" i="38"/>
  <c r="AH184" i="39"/>
  <c r="AH109" i="39" s="1"/>
  <c r="AI37" i="38"/>
  <c r="H37" i="38"/>
  <c r="P184" i="39"/>
  <c r="P109" i="39" s="1"/>
  <c r="Q37" i="38"/>
  <c r="L184" i="39"/>
  <c r="L109" i="39" s="1"/>
  <c r="U184" i="39"/>
  <c r="U109" i="39" s="1"/>
  <c r="V37" i="38"/>
  <c r="W184" i="39"/>
  <c r="W109" i="39" s="1"/>
  <c r="X37" i="38"/>
  <c r="S184" i="39"/>
  <c r="T37" i="38"/>
  <c r="AI184" i="39"/>
  <c r="AI109" i="39" s="1"/>
  <c r="AJ37" i="38"/>
  <c r="V184" i="39"/>
  <c r="V109" i="39" s="1"/>
  <c r="W37" i="38"/>
  <c r="AF184" i="39"/>
  <c r="AF109" i="39" s="1"/>
  <c r="AG37" i="38"/>
  <c r="N184" i="39"/>
  <c r="N109" i="39" s="1"/>
  <c r="O37" i="38"/>
  <c r="AC184" i="39"/>
  <c r="AC109" i="39" s="1"/>
  <c r="AD37" i="38"/>
  <c r="Y184" i="39"/>
  <c r="Y109" i="39" s="1"/>
  <c r="Z37" i="38"/>
  <c r="T184" i="39"/>
  <c r="U37" i="38"/>
  <c r="AB184" i="39"/>
  <c r="AB109" i="39" s="1"/>
  <c r="AC37" i="38"/>
  <c r="AE184" i="39"/>
  <c r="AE109" i="39" s="1"/>
  <c r="AF37" i="38"/>
  <c r="AD184" i="39"/>
  <c r="AD109" i="39" s="1"/>
  <c r="AE37" i="38"/>
  <c r="Z184" i="39"/>
  <c r="Z109" i="39" s="1"/>
  <c r="AA37" i="38"/>
  <c r="X184" i="39"/>
  <c r="X109" i="39" s="1"/>
  <c r="Y37" i="38"/>
  <c r="R184" i="39"/>
  <c r="R109" i="39" s="1"/>
  <c r="S37" i="38"/>
  <c r="M184" i="39"/>
  <c r="N37" i="38"/>
  <c r="Q184" i="39"/>
  <c r="Q109" i="39" s="1"/>
  <c r="R37" i="38"/>
  <c r="AA184" i="39"/>
  <c r="AA109" i="39" s="1"/>
  <c r="AB37" i="38"/>
  <c r="T190" i="39"/>
  <c r="F190" i="39"/>
  <c r="AI190" i="39"/>
  <c r="AD190" i="39"/>
  <c r="Y190" i="39"/>
  <c r="AH190" i="39"/>
  <c r="AB190" i="39"/>
  <c r="U190" i="39"/>
  <c r="W190" i="39"/>
  <c r="AC190" i="39"/>
  <c r="AE190" i="39"/>
  <c r="Z84" i="39"/>
  <c r="T84" i="39"/>
  <c r="AG84" i="39"/>
  <c r="P84" i="39"/>
  <c r="AI84" i="39"/>
  <c r="U84" i="39"/>
  <c r="O84" i="39"/>
  <c r="AD84" i="39"/>
  <c r="X84" i="39"/>
  <c r="AA84" i="39"/>
  <c r="R84" i="39"/>
  <c r="AE84" i="39"/>
  <c r="I84" i="39"/>
  <c r="G84" i="39"/>
  <c r="AF84" i="39"/>
  <c r="H84" i="39"/>
  <c r="AC84" i="39"/>
  <c r="F84" i="39"/>
  <c r="W84" i="39"/>
  <c r="AH84" i="39"/>
  <c r="AB84" i="39"/>
  <c r="S84" i="39"/>
  <c r="Y84" i="39"/>
  <c r="Q84" i="39"/>
  <c r="V84" i="39"/>
  <c r="S185" i="39"/>
  <c r="S110" i="39" s="1"/>
  <c r="R187" i="39"/>
  <c r="R112" i="39" s="1"/>
  <c r="K163" i="39"/>
  <c r="L40" i="38" s="1"/>
  <c r="J187" i="39"/>
  <c r="J112" i="39" s="1"/>
  <c r="N185" i="39"/>
  <c r="N110" i="39" s="1"/>
  <c r="AF187" i="39"/>
  <c r="AF112" i="39" s="1"/>
  <c r="W188" i="39"/>
  <c r="W113" i="39" s="1"/>
  <c r="U187" i="39"/>
  <c r="U112" i="39" s="1"/>
  <c r="AE187" i="39"/>
  <c r="AE112" i="39" s="1"/>
  <c r="AB187" i="39"/>
  <c r="AB112" i="39" s="1"/>
  <c r="W187" i="39"/>
  <c r="W112" i="39" s="1"/>
  <c r="Z187" i="39"/>
  <c r="Z112" i="39" s="1"/>
  <c r="S187" i="39"/>
  <c r="S112" i="39" s="1"/>
  <c r="H187" i="39"/>
  <c r="H112" i="39" s="1"/>
  <c r="I161" i="39"/>
  <c r="H185" i="39"/>
  <c r="T187" i="39"/>
  <c r="T112" i="39" s="1"/>
  <c r="L164" i="39"/>
  <c r="M41" i="38" s="1"/>
  <c r="K188" i="39"/>
  <c r="K113" i="39" s="1"/>
  <c r="AD187" i="39"/>
  <c r="AD112" i="39" s="1"/>
  <c r="V185" i="39"/>
  <c r="V110" i="39" s="1"/>
  <c r="P185" i="39"/>
  <c r="P110" i="39" s="1"/>
  <c r="X185" i="39"/>
  <c r="X110" i="39" s="1"/>
  <c r="H188" i="39"/>
  <c r="H113" i="39" s="1"/>
  <c r="I187" i="39"/>
  <c r="I112" i="39" s="1"/>
  <c r="AG187" i="39"/>
  <c r="AG112" i="39" s="1"/>
  <c r="AH185" i="39"/>
  <c r="AH110" i="39" s="1"/>
  <c r="U185" i="39"/>
  <c r="U110" i="39" s="1"/>
  <c r="F188" i="39"/>
  <c r="Y185" i="39"/>
  <c r="Y110" i="39" s="1"/>
  <c r="AC187" i="39"/>
  <c r="AC112" i="39" s="1"/>
  <c r="Q89" i="39"/>
  <c r="Q191" i="39"/>
  <c r="Q190" i="39" s="1"/>
  <c r="AF89" i="39"/>
  <c r="AF191" i="39"/>
  <c r="AF190" i="39" s="1"/>
  <c r="Z89" i="39"/>
  <c r="Z191" i="39"/>
  <c r="Z190" i="39" s="1"/>
  <c r="AG89" i="39"/>
  <c r="AG191" i="39"/>
  <c r="AG190" i="39" s="1"/>
  <c r="V89" i="39"/>
  <c r="V191" i="39"/>
  <c r="V190" i="39" s="1"/>
  <c r="AA89" i="39"/>
  <c r="AA191" i="39"/>
  <c r="AA190" i="39" s="1"/>
  <c r="H160" i="39"/>
  <c r="G184" i="39"/>
  <c r="L89" i="39"/>
  <c r="L191" i="39"/>
  <c r="N89" i="39"/>
  <c r="N191" i="39"/>
  <c r="R89" i="39"/>
  <c r="R191" i="39"/>
  <c r="R190" i="39" s="1"/>
  <c r="X89" i="39"/>
  <c r="X191" i="39"/>
  <c r="X190" i="39" s="1"/>
  <c r="H167" i="39"/>
  <c r="H191" i="39" s="1"/>
  <c r="G191" i="39"/>
  <c r="G190" i="39" s="1"/>
  <c r="S89" i="39"/>
  <c r="S191" i="39"/>
  <c r="S190" i="39" s="1"/>
  <c r="AI186" i="39"/>
  <c r="AI111" i="39" s="1"/>
  <c r="U186" i="39"/>
  <c r="U111" i="39" s="1"/>
  <c r="T186" i="39"/>
  <c r="T111" i="39" s="1"/>
  <c r="AG186" i="39"/>
  <c r="AG111" i="39" s="1"/>
  <c r="Z186" i="39"/>
  <c r="Z111" i="39" s="1"/>
  <c r="P186" i="39"/>
  <c r="P111" i="39" s="1"/>
  <c r="O186" i="39"/>
  <c r="O111" i="39" s="1"/>
  <c r="AD186" i="39"/>
  <c r="AD111" i="39" s="1"/>
  <c r="AF186" i="39"/>
  <c r="AF111" i="39" s="1"/>
  <c r="X186" i="39"/>
  <c r="X111" i="39" s="1"/>
  <c r="AA186" i="39"/>
  <c r="AA111" i="39" s="1"/>
  <c r="AE186" i="39"/>
  <c r="AE111" i="39" s="1"/>
  <c r="J162" i="39"/>
  <c r="K39" i="38" s="1"/>
  <c r="I186" i="39"/>
  <c r="I111" i="39" s="1"/>
  <c r="G186" i="39"/>
  <c r="G111" i="39" s="1"/>
  <c r="R186" i="39"/>
  <c r="R111" i="39" s="1"/>
  <c r="J169" i="39"/>
  <c r="J193" i="39" s="1"/>
  <c r="H186" i="39"/>
  <c r="H111" i="39" s="1"/>
  <c r="F110" i="39"/>
  <c r="M92" i="38"/>
  <c r="L120" i="39" s="1"/>
  <c r="M171" i="39"/>
  <c r="M195" i="39" s="1"/>
  <c r="AA91" i="38"/>
  <c r="Z119" i="39" s="1"/>
  <c r="Y91" i="38"/>
  <c r="X119" i="39" s="1"/>
  <c r="G91" i="38"/>
  <c r="F119" i="39" s="1"/>
  <c r="X91" i="38"/>
  <c r="W119" i="39" s="1"/>
  <c r="J91" i="38"/>
  <c r="I119" i="39" s="1"/>
  <c r="AC91" i="38"/>
  <c r="AB119" i="39" s="1"/>
  <c r="AJ91" i="38"/>
  <c r="AI119" i="39" s="1"/>
  <c r="I91" i="38"/>
  <c r="H119" i="39" s="1"/>
  <c r="Z91" i="38"/>
  <c r="Y119" i="39" s="1"/>
  <c r="AD91" i="38"/>
  <c r="AC119" i="39" s="1"/>
  <c r="R91" i="38"/>
  <c r="Q119" i="39" s="1"/>
  <c r="AF91" i="38"/>
  <c r="AE119" i="39" s="1"/>
  <c r="V91" i="38"/>
  <c r="U119" i="39" s="1"/>
  <c r="AH91" i="38"/>
  <c r="AG119" i="39" s="1"/>
  <c r="H91" i="38"/>
  <c r="G119" i="39" s="1"/>
  <c r="K170" i="39"/>
  <c r="K194" i="39" s="1"/>
  <c r="W91" i="38"/>
  <c r="V119" i="39" s="1"/>
  <c r="AE91" i="38"/>
  <c r="AD119" i="39" s="1"/>
  <c r="S91" i="38"/>
  <c r="R119" i="39" s="1"/>
  <c r="T91" i="38"/>
  <c r="S119" i="39" s="1"/>
  <c r="W92" i="38"/>
  <c r="V120" i="39" s="1"/>
  <c r="J92" i="38"/>
  <c r="I120" i="39" s="1"/>
  <c r="AC92" i="38"/>
  <c r="AB120" i="39" s="1"/>
  <c r="R92" i="38"/>
  <c r="Q120" i="39" s="1"/>
  <c r="E108" i="39"/>
  <c r="S92" i="39"/>
  <c r="T82" i="39"/>
  <c r="U90" i="39"/>
  <c r="N90" i="39"/>
  <c r="Q92" i="39"/>
  <c r="AH89" i="39"/>
  <c r="H85" i="39"/>
  <c r="AC83" i="39"/>
  <c r="Q85" i="39"/>
  <c r="AE82" i="39"/>
  <c r="AH82" i="39"/>
  <c r="S82" i="39"/>
  <c r="H92" i="39"/>
  <c r="AA82" i="39"/>
  <c r="V82" i="39"/>
  <c r="AD89" i="39"/>
  <c r="T92" i="39"/>
  <c r="AD82" i="39"/>
  <c r="U89" i="39"/>
  <c r="R85" i="39"/>
  <c r="U82" i="39"/>
  <c r="AE89" i="39"/>
  <c r="AC82" i="39"/>
  <c r="AI89" i="39"/>
  <c r="J85" i="39"/>
  <c r="F90" i="39"/>
  <c r="AH90" i="39"/>
  <c r="AI82" i="39"/>
  <c r="J92" i="39"/>
  <c r="AB82" i="39"/>
  <c r="T85" i="39"/>
  <c r="Z90" i="39"/>
  <c r="AB89" i="39"/>
  <c r="V83" i="39"/>
  <c r="X93" i="39"/>
  <c r="K93" i="39"/>
  <c r="H93" i="39"/>
  <c r="Q93" i="39"/>
  <c r="E93" i="39"/>
  <c r="AH93" i="39"/>
  <c r="AA93" i="39"/>
  <c r="AF93" i="39"/>
  <c r="AI93" i="39"/>
  <c r="S93" i="39"/>
  <c r="AB93" i="39"/>
  <c r="J93" i="39"/>
  <c r="U93" i="39"/>
  <c r="AD93" i="39"/>
  <c r="F93" i="39"/>
  <c r="G93" i="39"/>
  <c r="AG93" i="39"/>
  <c r="R93" i="39"/>
  <c r="I93" i="39"/>
  <c r="V93" i="39"/>
  <c r="W93" i="39"/>
  <c r="T93" i="39"/>
  <c r="L93" i="39"/>
  <c r="Y93" i="39"/>
  <c r="AC93" i="39"/>
  <c r="AE93" i="39"/>
  <c r="Z93" i="39"/>
  <c r="O89" i="39"/>
  <c r="AD90" i="39"/>
  <c r="Y89" i="39"/>
  <c r="W89" i="39"/>
  <c r="P92" i="39"/>
  <c r="F85" i="39"/>
  <c r="R92" i="39"/>
  <c r="N83" i="39"/>
  <c r="V90" i="39"/>
  <c r="X86" i="39"/>
  <c r="K86" i="39"/>
  <c r="AG86" i="39"/>
  <c r="AC86" i="39"/>
  <c r="AI86" i="39"/>
  <c r="H86" i="39"/>
  <c r="Q86" i="39"/>
  <c r="E86" i="39"/>
  <c r="AH86" i="39"/>
  <c r="AA86" i="39"/>
  <c r="AF86" i="39"/>
  <c r="U86" i="39"/>
  <c r="AE86" i="39"/>
  <c r="S86" i="39"/>
  <c r="AB86" i="39"/>
  <c r="J86" i="39"/>
  <c r="AD86" i="39"/>
  <c r="F86" i="39"/>
  <c r="G86" i="39"/>
  <c r="R86" i="39"/>
  <c r="I86" i="39"/>
  <c r="V86" i="39"/>
  <c r="W86" i="39"/>
  <c r="Z86" i="39"/>
  <c r="Y86" i="39"/>
  <c r="T86" i="39"/>
  <c r="O82" i="39"/>
  <c r="AD83" i="39"/>
  <c r="Y82" i="39"/>
  <c r="W82" i="39"/>
  <c r="P85" i="39"/>
  <c r="F92" i="39"/>
  <c r="Q82" i="39"/>
  <c r="AA85" i="39"/>
  <c r="AA90" i="39"/>
  <c r="U83" i="39"/>
  <c r="Z83" i="39"/>
  <c r="AF91" i="39"/>
  <c r="U91" i="39"/>
  <c r="F91" i="39"/>
  <c r="I91" i="39"/>
  <c r="AE91" i="39"/>
  <c r="AI91" i="39"/>
  <c r="X91" i="39"/>
  <c r="AB91" i="39"/>
  <c r="AA91" i="39"/>
  <c r="E91" i="39"/>
  <c r="AD91" i="39"/>
  <c r="T91" i="39"/>
  <c r="P91" i="39"/>
  <c r="Y91" i="39"/>
  <c r="AC91" i="39"/>
  <c r="O91" i="39"/>
  <c r="Q91" i="39"/>
  <c r="H91" i="39"/>
  <c r="AG91" i="39"/>
  <c r="S91" i="39"/>
  <c r="W91" i="39"/>
  <c r="G91" i="39"/>
  <c r="AH91" i="39"/>
  <c r="R91" i="39"/>
  <c r="Z91" i="39"/>
  <c r="V91" i="39"/>
  <c r="O90" i="39"/>
  <c r="Y85" i="39"/>
  <c r="AB85" i="39"/>
  <c r="AG90" i="39"/>
  <c r="G89" i="39"/>
  <c r="G85" i="39"/>
  <c r="Y90" i="39"/>
  <c r="H83" i="39"/>
  <c r="AA92" i="39"/>
  <c r="AA83" i="39"/>
  <c r="W83" i="39"/>
  <c r="Z82" i="39"/>
  <c r="O83" i="39"/>
  <c r="Y92" i="39"/>
  <c r="AB92" i="39"/>
  <c r="AG83" i="39"/>
  <c r="G82" i="39"/>
  <c r="G92" i="39"/>
  <c r="Y83" i="39"/>
  <c r="H90" i="39"/>
  <c r="AI85" i="39"/>
  <c r="AE90" i="39"/>
  <c r="AB90" i="39"/>
  <c r="M89" i="39"/>
  <c r="E90" i="39"/>
  <c r="AE92" i="39"/>
  <c r="AH92" i="39"/>
  <c r="E92" i="39"/>
  <c r="AG85" i="39"/>
  <c r="AI90" i="39"/>
  <c r="AI92" i="39"/>
  <c r="X82" i="39"/>
  <c r="AE83" i="39"/>
  <c r="AC90" i="39"/>
  <c r="AB83" i="39"/>
  <c r="M82" i="39"/>
  <c r="E83" i="39"/>
  <c r="AE85" i="39"/>
  <c r="AH85" i="39"/>
  <c r="E85" i="39"/>
  <c r="AG92" i="39"/>
  <c r="AI83" i="39"/>
  <c r="L82" i="39"/>
  <c r="R90" i="39"/>
  <c r="AF90" i="39"/>
  <c r="I85" i="39"/>
  <c r="AD85" i="39"/>
  <c r="X90" i="39"/>
  <c r="V85" i="39"/>
  <c r="AF85" i="39"/>
  <c r="Z85" i="39"/>
  <c r="P90" i="39"/>
  <c r="R83" i="39"/>
  <c r="AF83" i="39"/>
  <c r="AG82" i="39"/>
  <c r="E84" i="39"/>
  <c r="I92" i="39"/>
  <c r="AD92" i="39"/>
  <c r="X83" i="39"/>
  <c r="V92" i="39"/>
  <c r="AF92" i="39"/>
  <c r="Z92" i="39"/>
  <c r="P83" i="39"/>
  <c r="E82" i="39"/>
  <c r="T83" i="39"/>
  <c r="X85" i="39"/>
  <c r="P89" i="39"/>
  <c r="U85" i="39"/>
  <c r="F89" i="39"/>
  <c r="G90" i="39"/>
  <c r="AC92" i="39"/>
  <c r="S90" i="39"/>
  <c r="W85" i="39"/>
  <c r="T90" i="39"/>
  <c r="X92" i="39"/>
  <c r="P82" i="39"/>
  <c r="Q83" i="39"/>
  <c r="U92" i="39"/>
  <c r="F82" i="39"/>
  <c r="R82" i="39"/>
  <c r="N82" i="39"/>
  <c r="G83" i="39"/>
  <c r="AC85" i="39"/>
  <c r="S83" i="39"/>
  <c r="W92" i="39"/>
  <c r="T89" i="39"/>
  <c r="S85" i="39"/>
  <c r="F83" i="39"/>
  <c r="AH83" i="39"/>
  <c r="Q90" i="39"/>
  <c r="AC89" i="39"/>
  <c r="W90" i="39"/>
  <c r="AF82" i="39"/>
  <c r="E115" i="39"/>
  <c r="I168" i="39"/>
  <c r="I192" i="39" s="1"/>
  <c r="X90" i="38"/>
  <c r="W118" i="39" s="1"/>
  <c r="AJ88" i="38"/>
  <c r="AI116" i="39" s="1"/>
  <c r="Z90" i="38"/>
  <c r="Y118" i="39" s="1"/>
  <c r="X88" i="38"/>
  <c r="W116" i="39" s="1"/>
  <c r="AC89" i="38"/>
  <c r="AB117" i="39" s="1"/>
  <c r="AJ90" i="38"/>
  <c r="AI118" i="39" s="1"/>
  <c r="N88" i="38"/>
  <c r="M116" i="39" s="1"/>
  <c r="AE90" i="38"/>
  <c r="AD118" i="39" s="1"/>
  <c r="I89" i="38"/>
  <c r="H117" i="39" s="1"/>
  <c r="AG89" i="38"/>
  <c r="AF117" i="39" s="1"/>
  <c r="W89" i="38"/>
  <c r="V117" i="39" s="1"/>
  <c r="V90" i="38"/>
  <c r="U118" i="39" s="1"/>
  <c r="AD90" i="38"/>
  <c r="AC118" i="39" s="1"/>
  <c r="AA90" i="38"/>
  <c r="Z118" i="39" s="1"/>
  <c r="G88" i="38"/>
  <c r="F116" i="39" s="1"/>
  <c r="Y90" i="38"/>
  <c r="X118" i="39" s="1"/>
  <c r="AD88" i="38"/>
  <c r="AC116" i="39" s="1"/>
  <c r="U88" i="38"/>
  <c r="T116" i="39" s="1"/>
  <c r="U90" i="38"/>
  <c r="T118" i="39" s="1"/>
  <c r="AI89" i="38"/>
  <c r="AH117" i="39" s="1"/>
  <c r="R89" i="38"/>
  <c r="Q117" i="39" s="1"/>
  <c r="R90" i="38"/>
  <c r="Q118" i="39" s="1"/>
  <c r="AD89" i="38"/>
  <c r="AC117" i="39" s="1"/>
  <c r="AF90" i="38"/>
  <c r="AE118" i="39" s="1"/>
  <c r="AA89" i="38"/>
  <c r="Z117" i="39" s="1"/>
  <c r="T90" i="38"/>
  <c r="S118" i="39" s="1"/>
  <c r="AB90" i="38"/>
  <c r="AA118" i="39" s="1"/>
  <c r="AF89" i="38"/>
  <c r="AE117" i="39" s="1"/>
  <c r="AE88" i="38"/>
  <c r="AD116" i="39" s="1"/>
  <c r="Q90" i="38"/>
  <c r="P118" i="39" s="1"/>
  <c r="Y89" i="38"/>
  <c r="X117" i="39" s="1"/>
  <c r="P90" i="38"/>
  <c r="O118" i="39" s="1"/>
  <c r="X89" i="38"/>
  <c r="W117" i="39" s="1"/>
  <c r="Z88" i="38"/>
  <c r="Y116" i="39" s="1"/>
  <c r="AG90" i="38"/>
  <c r="AF118" i="39" s="1"/>
  <c r="I90" i="38"/>
  <c r="H118" i="39" s="1"/>
  <c r="AF88" i="38"/>
  <c r="AE116" i="39" s="1"/>
  <c r="AC90" i="38"/>
  <c r="AB118" i="39" s="1"/>
  <c r="J90" i="38"/>
  <c r="I118" i="39" s="1"/>
  <c r="P88" i="38"/>
  <c r="O116" i="39" s="1"/>
  <c r="G89" i="38"/>
  <c r="F117" i="39" s="1"/>
  <c r="AC88" i="38"/>
  <c r="AB116" i="39" s="1"/>
  <c r="AH90" i="38"/>
  <c r="AG118" i="39" s="1"/>
  <c r="Q88" i="38"/>
  <c r="P116" i="39" s="1"/>
  <c r="G90" i="38"/>
  <c r="F118" i="39" s="1"/>
  <c r="AI90" i="38"/>
  <c r="AH118" i="39" s="1"/>
  <c r="H90" i="38"/>
  <c r="G118" i="39" s="1"/>
  <c r="U91" i="38"/>
  <c r="T119" i="39" s="1"/>
  <c r="AI88" i="38"/>
  <c r="AH116" i="39" s="1"/>
  <c r="V88" i="38"/>
  <c r="U116" i="39" s="1"/>
  <c r="T89" i="38"/>
  <c r="S117" i="39" s="1"/>
  <c r="S90" i="38"/>
  <c r="R118" i="39" s="1"/>
  <c r="W90" i="38"/>
  <c r="V118" i="39" s="1"/>
  <c r="Y112" i="39"/>
  <c r="AD110" i="39"/>
  <c r="AB110" i="39"/>
  <c r="O109" i="39"/>
  <c r="S109" i="39"/>
  <c r="T109" i="39"/>
  <c r="M109" i="39"/>
  <c r="G112" i="39"/>
  <c r="G110" i="39"/>
  <c r="Z110" i="39"/>
  <c r="O110" i="39"/>
  <c r="AI110" i="39"/>
  <c r="T110" i="39"/>
  <c r="Q110" i="39"/>
  <c r="W110" i="39"/>
  <c r="AA110" i="39"/>
  <c r="F183" i="39" l="1"/>
  <c r="Q183" i="39"/>
  <c r="I185" i="39"/>
  <c r="I110" i="39" s="1"/>
  <c r="J38" i="38"/>
  <c r="H184" i="39"/>
  <c r="H177" i="39" s="1"/>
  <c r="I37" i="38"/>
  <c r="H82" i="39"/>
  <c r="H81" i="39" s="1"/>
  <c r="I8" i="37" s="1"/>
  <c r="L86" i="39"/>
  <c r="AH183" i="39"/>
  <c r="AC183" i="39"/>
  <c r="Z183" i="39"/>
  <c r="AB183" i="39"/>
  <c r="X183" i="39"/>
  <c r="G109" i="39"/>
  <c r="G183" i="39"/>
  <c r="R183" i="39"/>
  <c r="Y183" i="39"/>
  <c r="AG183" i="39"/>
  <c r="AF183" i="39"/>
  <c r="H110" i="39"/>
  <c r="V183" i="39"/>
  <c r="U183" i="39"/>
  <c r="W183" i="39"/>
  <c r="S183" i="39"/>
  <c r="AA183" i="39"/>
  <c r="AD183" i="39"/>
  <c r="AI183" i="39"/>
  <c r="AE183" i="39"/>
  <c r="T183" i="39"/>
  <c r="I88" i="38"/>
  <c r="H116" i="39" s="1"/>
  <c r="H115" i="39" s="1"/>
  <c r="H190" i="39"/>
  <c r="J91" i="39"/>
  <c r="K85" i="39"/>
  <c r="J84" i="39"/>
  <c r="J161" i="39"/>
  <c r="K38" i="38" s="1"/>
  <c r="L163" i="39"/>
  <c r="M40" i="38" s="1"/>
  <c r="K187" i="39"/>
  <c r="K112" i="39" s="1"/>
  <c r="M164" i="39"/>
  <c r="N41" i="38" s="1"/>
  <c r="L188" i="39"/>
  <c r="L113" i="39" s="1"/>
  <c r="J168" i="39"/>
  <c r="J192" i="39" s="1"/>
  <c r="K89" i="38" s="1"/>
  <c r="J117" i="39" s="1"/>
  <c r="I83" i="39"/>
  <c r="H89" i="39"/>
  <c r="H88" i="39" s="1"/>
  <c r="I9" i="37" s="1"/>
  <c r="I167" i="39"/>
  <c r="I191" i="39" s="1"/>
  <c r="I160" i="39"/>
  <c r="J37" i="38" s="1"/>
  <c r="K162" i="39"/>
  <c r="J186" i="39"/>
  <c r="J111" i="39" s="1"/>
  <c r="K169" i="39"/>
  <c r="K193" i="39" s="1"/>
  <c r="K90" i="38"/>
  <c r="J118" i="39" s="1"/>
  <c r="F113" i="39"/>
  <c r="F111" i="39"/>
  <c r="F112" i="39"/>
  <c r="F109" i="39"/>
  <c r="E122" i="39"/>
  <c r="F12" i="37" s="1"/>
  <c r="F24" i="37" s="1"/>
  <c r="M93" i="39"/>
  <c r="N92" i="38"/>
  <c r="M120" i="39" s="1"/>
  <c r="N171" i="39"/>
  <c r="K92" i="39"/>
  <c r="L170" i="39"/>
  <c r="L194" i="39" s="1"/>
  <c r="I90" i="39"/>
  <c r="W81" i="39"/>
  <c r="X8" i="37" s="1"/>
  <c r="AD88" i="39"/>
  <c r="AE9" i="37" s="1"/>
  <c r="U81" i="39"/>
  <c r="V8" i="37" s="1"/>
  <c r="AF88" i="39"/>
  <c r="AG9" i="37" s="1"/>
  <c r="H88" i="38"/>
  <c r="G116" i="39" s="1"/>
  <c r="O89" i="38"/>
  <c r="N117" i="39" s="1"/>
  <c r="U89" i="38"/>
  <c r="T117" i="39" s="1"/>
  <c r="T108" i="39"/>
  <c r="V89" i="38"/>
  <c r="U117" i="39" s="1"/>
  <c r="U115" i="39" s="1"/>
  <c r="U108" i="39"/>
  <c r="Y88" i="38"/>
  <c r="X108" i="39"/>
  <c r="S88" i="38"/>
  <c r="R116" i="39" s="1"/>
  <c r="H89" i="38"/>
  <c r="G117" i="39" s="1"/>
  <c r="S108" i="39"/>
  <c r="T88" i="38"/>
  <c r="M88" i="38"/>
  <c r="L116" i="39" s="1"/>
  <c r="AJ89" i="38"/>
  <c r="AI117" i="39" s="1"/>
  <c r="AI108" i="39"/>
  <c r="AE115" i="39"/>
  <c r="AG91" i="38"/>
  <c r="AF119" i="39" s="1"/>
  <c r="V108" i="39"/>
  <c r="W88" i="38"/>
  <c r="V116" i="39" s="1"/>
  <c r="AG88" i="38"/>
  <c r="AF116" i="39" s="1"/>
  <c r="AB89" i="38"/>
  <c r="AA117" i="39" s="1"/>
  <c r="AB115" i="39"/>
  <c r="AH108" i="39"/>
  <c r="AI91" i="38"/>
  <c r="AH88" i="38"/>
  <c r="AG116" i="39" s="1"/>
  <c r="Z89" i="38"/>
  <c r="Y117" i="39" s="1"/>
  <c r="Y115" i="39" s="1"/>
  <c r="K91" i="38"/>
  <c r="J119" i="39" s="1"/>
  <c r="R88" i="38"/>
  <c r="Q108" i="39"/>
  <c r="Y108" i="39"/>
  <c r="S89" i="38"/>
  <c r="R117" i="39" s="1"/>
  <c r="AB88" i="38"/>
  <c r="AA116" i="39" s="1"/>
  <c r="AE108" i="39"/>
  <c r="F102" i="39"/>
  <c r="F115" i="39"/>
  <c r="Q91" i="38"/>
  <c r="P119" i="39" s="1"/>
  <c r="Z108" i="39"/>
  <c r="AA88" i="38"/>
  <c r="Z116" i="39" s="1"/>
  <c r="Z115" i="39" s="1"/>
  <c r="AB91" i="38"/>
  <c r="AA119" i="39" s="1"/>
  <c r="AB108" i="39"/>
  <c r="W115" i="39"/>
  <c r="Q89" i="38"/>
  <c r="P117" i="39" s="1"/>
  <c r="AH89" i="38"/>
  <c r="AG117" i="39" s="1"/>
  <c r="AD108" i="39"/>
  <c r="AE89" i="38"/>
  <c r="AD117" i="39" s="1"/>
  <c r="AD115" i="39" s="1"/>
  <c r="W108" i="39"/>
  <c r="O88" i="38"/>
  <c r="N116" i="39" s="1"/>
  <c r="AG88" i="39"/>
  <c r="AH9" i="37" s="1"/>
  <c r="AC108" i="39"/>
  <c r="L91" i="38"/>
  <c r="K119" i="39" s="1"/>
  <c r="AA88" i="39"/>
  <c r="AB9" i="37" s="1"/>
  <c r="P89" i="38"/>
  <c r="O117" i="39" s="1"/>
  <c r="G88" i="39"/>
  <c r="H9" i="37" s="1"/>
  <c r="U88" i="39"/>
  <c r="V9" i="37" s="1"/>
  <c r="S88" i="39"/>
  <c r="T9" i="37" s="1"/>
  <c r="W88" i="39"/>
  <c r="X9" i="37" s="1"/>
  <c r="X88" i="39"/>
  <c r="Y9" i="37" s="1"/>
  <c r="V88" i="39"/>
  <c r="W9" i="37" s="1"/>
  <c r="AI88" i="39"/>
  <c r="AJ9" i="37" s="1"/>
  <c r="AE88" i="39"/>
  <c r="AF9" i="37" s="1"/>
  <c r="Z88" i="39"/>
  <c r="AA9" i="37" s="1"/>
  <c r="Y81" i="39"/>
  <c r="Z8" i="37" s="1"/>
  <c r="AC88" i="39"/>
  <c r="AD9" i="37" s="1"/>
  <c r="AH88" i="39"/>
  <c r="AI9" i="37" s="1"/>
  <c r="AB88" i="39"/>
  <c r="AC9" i="37" s="1"/>
  <c r="R81" i="39"/>
  <c r="S8" i="37" s="1"/>
  <c r="Y88" i="39"/>
  <c r="Z9" i="37" s="1"/>
  <c r="E81" i="39"/>
  <c r="F8" i="37" s="1"/>
  <c r="E88" i="39"/>
  <c r="F9" i="37" s="1"/>
  <c r="AI81" i="39"/>
  <c r="AJ8" i="37" s="1"/>
  <c r="T81" i="39"/>
  <c r="U8" i="37" s="1"/>
  <c r="Q88" i="39"/>
  <c r="R9" i="37" s="1"/>
  <c r="AF81" i="39"/>
  <c r="AG8" i="37" s="1"/>
  <c r="Z81" i="39"/>
  <c r="AA8" i="37" s="1"/>
  <c r="AH81" i="39"/>
  <c r="AI8" i="37" s="1"/>
  <c r="R88" i="39"/>
  <c r="S9" i="37" s="1"/>
  <c r="Q81" i="39"/>
  <c r="R8" i="37" s="1"/>
  <c r="AB81" i="39"/>
  <c r="AC8" i="37" s="1"/>
  <c r="AE81" i="39"/>
  <c r="AF8" i="37" s="1"/>
  <c r="F88" i="39"/>
  <c r="G9" i="37" s="1"/>
  <c r="X81" i="39"/>
  <c r="Y8" i="37" s="1"/>
  <c r="S81" i="39"/>
  <c r="T8" i="37" s="1"/>
  <c r="T88" i="39"/>
  <c r="U9" i="37" s="1"/>
  <c r="AG81" i="39"/>
  <c r="AH8" i="37" s="1"/>
  <c r="AD81" i="39"/>
  <c r="AE8" i="37" s="1"/>
  <c r="V81" i="39"/>
  <c r="W8" i="37" s="1"/>
  <c r="AA81" i="39"/>
  <c r="AB8" i="37" s="1"/>
  <c r="G81" i="39"/>
  <c r="H8" i="37" s="1"/>
  <c r="F81" i="39"/>
  <c r="G8" i="37" s="1"/>
  <c r="AC81" i="39"/>
  <c r="AD8" i="37" s="1"/>
  <c r="H109" i="39" l="1"/>
  <c r="H183" i="39"/>
  <c r="K84" i="39"/>
  <c r="L39" i="38"/>
  <c r="H108" i="39"/>
  <c r="J88" i="38"/>
  <c r="I116" i="39" s="1"/>
  <c r="I190" i="39"/>
  <c r="I82" i="39"/>
  <c r="I81" i="39" s="1"/>
  <c r="J8" i="37" s="1"/>
  <c r="AG7" i="37"/>
  <c r="AG10" i="37" s="1"/>
  <c r="AG11" i="37" s="1"/>
  <c r="AE7" i="37"/>
  <c r="AE17" i="37" s="1"/>
  <c r="AE32" i="37" s="1"/>
  <c r="AI7" i="37"/>
  <c r="AI17" i="37" s="1"/>
  <c r="AI32" i="37" s="1"/>
  <c r="AD7" i="37"/>
  <c r="AD10" i="37" s="1"/>
  <c r="AD11" i="37" s="1"/>
  <c r="AH7" i="37"/>
  <c r="AH17" i="37" s="1"/>
  <c r="AF7" i="37"/>
  <c r="AF17" i="37" s="1"/>
  <c r="AF32" i="37" s="1"/>
  <c r="AJ7" i="37"/>
  <c r="AJ17" i="37" s="1"/>
  <c r="AJ32" i="37" s="1"/>
  <c r="K161" i="39"/>
  <c r="N195" i="39"/>
  <c r="O92" i="38" s="1"/>
  <c r="N120" i="39" s="1"/>
  <c r="J90" i="39"/>
  <c r="K168" i="39"/>
  <c r="K192" i="39" s="1"/>
  <c r="L89" i="38" s="1"/>
  <c r="K117" i="39" s="1"/>
  <c r="O171" i="39"/>
  <c r="N93" i="39"/>
  <c r="N164" i="39"/>
  <c r="O41" i="38" s="1"/>
  <c r="M188" i="39"/>
  <c r="M113" i="39" s="1"/>
  <c r="M86" i="39"/>
  <c r="M163" i="39"/>
  <c r="N40" i="38" s="1"/>
  <c r="L187" i="39"/>
  <c r="L85" i="39"/>
  <c r="J83" i="39"/>
  <c r="J185" i="39"/>
  <c r="J110" i="39" s="1"/>
  <c r="J167" i="39"/>
  <c r="J191" i="39" s="1"/>
  <c r="I89" i="39"/>
  <c r="I88" i="39" s="1"/>
  <c r="J9" i="37" s="1"/>
  <c r="J160" i="39"/>
  <c r="K37" i="38" s="1"/>
  <c r="I184" i="39"/>
  <c r="F108" i="39"/>
  <c r="L169" i="39"/>
  <c r="L193" i="39" s="1"/>
  <c r="L90" i="38"/>
  <c r="K118" i="39" s="1"/>
  <c r="K91" i="39"/>
  <c r="L162" i="39"/>
  <c r="K186" i="39"/>
  <c r="J89" i="38"/>
  <c r="I117" i="39" s="1"/>
  <c r="M170" i="39"/>
  <c r="M194" i="39" s="1"/>
  <c r="L92" i="39"/>
  <c r="M91" i="38"/>
  <c r="L119" i="39" s="1"/>
  <c r="AF115" i="39"/>
  <c r="AA7" i="37"/>
  <c r="AA10" i="37" s="1"/>
  <c r="AA11" i="37" s="1"/>
  <c r="V7" i="37"/>
  <c r="V10" i="37" s="1"/>
  <c r="V11" i="37" s="1"/>
  <c r="V23" i="37" s="1"/>
  <c r="I7" i="37"/>
  <c r="I17" i="37" s="1"/>
  <c r="I32" i="37" s="1"/>
  <c r="R7" i="37"/>
  <c r="R17" i="37" s="1"/>
  <c r="R32" i="37" s="1"/>
  <c r="X7" i="37"/>
  <c r="X17" i="37" s="1"/>
  <c r="X32" i="37" s="1"/>
  <c r="W7" i="37"/>
  <c r="W10" i="37" s="1"/>
  <c r="W11" i="37" s="1"/>
  <c r="W23" i="37" s="1"/>
  <c r="AC7" i="37"/>
  <c r="AC10" i="37" s="1"/>
  <c r="AC11" i="37" s="1"/>
  <c r="AC23" i="37" s="1"/>
  <c r="AB7" i="37"/>
  <c r="AB17" i="37" s="1"/>
  <c r="AB32" i="37" s="1"/>
  <c r="S7" i="37"/>
  <c r="S10" i="37" s="1"/>
  <c r="S11" i="37" s="1"/>
  <c r="S23" i="37" s="1"/>
  <c r="Z7" i="37"/>
  <c r="Z10" i="37" s="1"/>
  <c r="T7" i="37"/>
  <c r="T17" i="37" s="1"/>
  <c r="T32" i="37" s="1"/>
  <c r="U7" i="37"/>
  <c r="U10" i="37" s="1"/>
  <c r="U11" i="37" s="1"/>
  <c r="U23" i="37" s="1"/>
  <c r="G7" i="37"/>
  <c r="G10" i="37" s="1"/>
  <c r="G11" i="37" s="1"/>
  <c r="G23" i="37" s="1"/>
  <c r="H7" i="37"/>
  <c r="H17" i="37" s="1"/>
  <c r="H32" i="37" s="1"/>
  <c r="Y7" i="37"/>
  <c r="Y17" i="37" s="1"/>
  <c r="Y32" i="37" s="1"/>
  <c r="F7" i="37"/>
  <c r="F17" i="37" s="1"/>
  <c r="G115" i="39"/>
  <c r="AF95" i="39"/>
  <c r="S95" i="39"/>
  <c r="X95" i="39"/>
  <c r="AI95" i="39"/>
  <c r="X116" i="39"/>
  <c r="X115" i="39" s="1"/>
  <c r="Q116" i="39"/>
  <c r="Q115" i="39" s="1"/>
  <c r="AG95" i="39"/>
  <c r="W95" i="39"/>
  <c r="S116" i="39"/>
  <c r="S115" i="39" s="1"/>
  <c r="AH119" i="39"/>
  <c r="AH115" i="39" s="1"/>
  <c r="G95" i="39"/>
  <c r="V115" i="39"/>
  <c r="AD95" i="39"/>
  <c r="AG115" i="39"/>
  <c r="AC115" i="39"/>
  <c r="T95" i="39"/>
  <c r="T115" i="39"/>
  <c r="R108" i="39"/>
  <c r="U95" i="39"/>
  <c r="G108" i="39"/>
  <c r="AI115" i="39"/>
  <c r="AA108" i="39"/>
  <c r="AA95" i="39"/>
  <c r="AF108" i="39"/>
  <c r="AA115" i="39"/>
  <c r="AG108" i="39"/>
  <c r="R115" i="39"/>
  <c r="AC95" i="39"/>
  <c r="AH95" i="39"/>
  <c r="F95" i="39"/>
  <c r="Z95" i="39"/>
  <c r="E95" i="39"/>
  <c r="Y95" i="39"/>
  <c r="AE95" i="39"/>
  <c r="AB95" i="39"/>
  <c r="V95" i="39"/>
  <c r="Q95" i="39"/>
  <c r="H95" i="39"/>
  <c r="R95" i="39"/>
  <c r="Q179" i="39"/>
  <c r="Q104" i="39" s="1"/>
  <c r="I179" i="39"/>
  <c r="I104" i="39" s="1"/>
  <c r="L84" i="39" l="1"/>
  <c r="M39" i="38"/>
  <c r="K83" i="39"/>
  <c r="L38" i="38"/>
  <c r="AG17" i="37"/>
  <c r="AG32" i="37" s="1"/>
  <c r="I109" i="39"/>
  <c r="I108" i="39" s="1"/>
  <c r="I183" i="39"/>
  <c r="K88" i="38"/>
  <c r="J116" i="39" s="1"/>
  <c r="J115" i="39" s="1"/>
  <c r="J190" i="39"/>
  <c r="K185" i="39"/>
  <c r="K110" i="39" s="1"/>
  <c r="AI10" i="37"/>
  <c r="AI11" i="37" s="1"/>
  <c r="AI23" i="37" s="1"/>
  <c r="AE10" i="37"/>
  <c r="AE11" i="37" s="1"/>
  <c r="AE23" i="37" s="1"/>
  <c r="J89" i="39"/>
  <c r="J88" i="39" s="1"/>
  <c r="K9" i="37" s="1"/>
  <c r="L161" i="39"/>
  <c r="K90" i="39"/>
  <c r="AD17" i="37"/>
  <c r="AD32" i="37" s="1"/>
  <c r="AF10" i="37"/>
  <c r="AF11" i="37" s="1"/>
  <c r="AF23" i="37" s="1"/>
  <c r="AJ10" i="37"/>
  <c r="AJ11" i="37" s="1"/>
  <c r="AJ23" i="37" s="1"/>
  <c r="AH10" i="37"/>
  <c r="AH11" i="37" s="1"/>
  <c r="AH23" i="37" s="1"/>
  <c r="AH32" i="37"/>
  <c r="AG23" i="37"/>
  <c r="AD23" i="37"/>
  <c r="O195" i="39"/>
  <c r="P92" i="38" s="1"/>
  <c r="O120" i="39" s="1"/>
  <c r="P171" i="39"/>
  <c r="K167" i="39"/>
  <c r="K191" i="39" s="1"/>
  <c r="K190" i="39" s="1"/>
  <c r="L168" i="39"/>
  <c r="L90" i="39" s="1"/>
  <c r="J7" i="37"/>
  <c r="J17" i="37" s="1"/>
  <c r="J32" i="37" s="1"/>
  <c r="O93" i="39"/>
  <c r="L112" i="39"/>
  <c r="N163" i="39"/>
  <c r="M187" i="39"/>
  <c r="M112" i="39" s="1"/>
  <c r="M85" i="39"/>
  <c r="N188" i="39"/>
  <c r="N181" i="39" s="1"/>
  <c r="N106" i="39" s="1"/>
  <c r="N86" i="39"/>
  <c r="O164" i="39"/>
  <c r="J184" i="39"/>
  <c r="J82" i="39"/>
  <c r="J81" i="39" s="1"/>
  <c r="K8" i="37" s="1"/>
  <c r="K160" i="39"/>
  <c r="I95" i="39"/>
  <c r="K111" i="39"/>
  <c r="M162" i="39"/>
  <c r="N39" i="38" s="1"/>
  <c r="L186" i="39"/>
  <c r="L111" i="39" s="1"/>
  <c r="M169" i="39"/>
  <c r="M90" i="38"/>
  <c r="L118" i="39" s="1"/>
  <c r="L91" i="39"/>
  <c r="I115" i="39"/>
  <c r="N91" i="38"/>
  <c r="M119" i="39" s="1"/>
  <c r="M92" i="39"/>
  <c r="N170" i="39"/>
  <c r="AC17" i="37"/>
  <c r="AC32" i="37" s="1"/>
  <c r="Y10" i="37"/>
  <c r="Y11" i="37" s="1"/>
  <c r="Y23" i="37" s="1"/>
  <c r="W17" i="37"/>
  <c r="W32" i="37" s="1"/>
  <c r="AB10" i="37"/>
  <c r="AB11" i="37" s="1"/>
  <c r="AB23" i="37" s="1"/>
  <c r="H10" i="37"/>
  <c r="H11" i="37" s="1"/>
  <c r="H23" i="37" s="1"/>
  <c r="G17" i="37"/>
  <c r="G32" i="37" s="1"/>
  <c r="AA17" i="37"/>
  <c r="AA32" i="37" s="1"/>
  <c r="X10" i="37"/>
  <c r="X11" i="37" s="1"/>
  <c r="X23" i="37" s="1"/>
  <c r="V17" i="37"/>
  <c r="V32" i="37" s="1"/>
  <c r="F10" i="37"/>
  <c r="I10" i="37"/>
  <c r="I11" i="37" s="1"/>
  <c r="I23" i="37" s="1"/>
  <c r="T10" i="37"/>
  <c r="T11" i="37" s="1"/>
  <c r="T23" i="37" s="1"/>
  <c r="R10" i="37"/>
  <c r="R11" i="37" s="1"/>
  <c r="R23" i="37" s="1"/>
  <c r="S17" i="37"/>
  <c r="S32" i="37" s="1"/>
  <c r="U17" i="37"/>
  <c r="U32" i="37" s="1"/>
  <c r="Z11" i="37"/>
  <c r="Z23" i="37" s="1"/>
  <c r="Z17" i="37"/>
  <c r="Z32" i="37" s="1"/>
  <c r="AA23" i="37"/>
  <c r="AH179" i="39"/>
  <c r="AH104" i="39" s="1"/>
  <c r="F178" i="39"/>
  <c r="R179" i="39"/>
  <c r="R104" i="39" s="1"/>
  <c r="X178" i="39"/>
  <c r="X103" i="39" s="1"/>
  <c r="K180" i="39"/>
  <c r="K105" i="39" s="1"/>
  <c r="AE180" i="39"/>
  <c r="AE105" i="39" s="1"/>
  <c r="Q180" i="39"/>
  <c r="Q105" i="39" s="1"/>
  <c r="W179" i="39"/>
  <c r="W104" i="39" s="1"/>
  <c r="AH178" i="39"/>
  <c r="AH103" i="39" s="1"/>
  <c r="W180" i="39"/>
  <c r="W105" i="39" s="1"/>
  <c r="R178" i="39"/>
  <c r="R103" i="39" s="1"/>
  <c r="P179" i="39"/>
  <c r="P104" i="39" s="1"/>
  <c r="H178" i="39"/>
  <c r="AB181" i="39"/>
  <c r="AB106" i="39" s="1"/>
  <c r="L181" i="39"/>
  <c r="L106" i="39" s="1"/>
  <c r="Z179" i="39"/>
  <c r="Z104" i="39" s="1"/>
  <c r="Y179" i="39"/>
  <c r="Y104" i="39" s="1"/>
  <c r="V179" i="39"/>
  <c r="V104" i="39" s="1"/>
  <c r="AH180" i="39"/>
  <c r="AH105" i="39" s="1"/>
  <c r="O178" i="39"/>
  <c r="O103" i="39" s="1"/>
  <c r="J180" i="39"/>
  <c r="J105" i="39" s="1"/>
  <c r="F180" i="39"/>
  <c r="F105" i="39" s="1"/>
  <c r="Y180" i="39"/>
  <c r="Y105" i="39" s="1"/>
  <c r="U179" i="39"/>
  <c r="U104" i="39" s="1"/>
  <c r="T181" i="39"/>
  <c r="T106" i="39" s="1"/>
  <c r="V178" i="39"/>
  <c r="V103" i="39" s="1"/>
  <c r="AF178" i="39"/>
  <c r="AF103" i="39" s="1"/>
  <c r="H180" i="39"/>
  <c r="H105" i="39" s="1"/>
  <c r="T179" i="39"/>
  <c r="T104" i="39" s="1"/>
  <c r="AC181" i="39"/>
  <c r="AC106" i="39" s="1"/>
  <c r="AD181" i="39"/>
  <c r="AD106" i="39" s="1"/>
  <c r="S179" i="39"/>
  <c r="S104" i="39" s="1"/>
  <c r="K179" i="39"/>
  <c r="K104" i="39" s="1"/>
  <c r="AA178" i="39"/>
  <c r="AA103" i="39" s="1"/>
  <c r="AA179" i="39"/>
  <c r="AA104" i="39" s="1"/>
  <c r="P178" i="39"/>
  <c r="P103" i="39" s="1"/>
  <c r="Z180" i="39"/>
  <c r="Z105" i="39" s="1"/>
  <c r="J181" i="39"/>
  <c r="J106" i="39" s="1"/>
  <c r="V181" i="39"/>
  <c r="V106" i="39" s="1"/>
  <c r="Y181" i="39"/>
  <c r="Y106" i="39" s="1"/>
  <c r="AI178" i="39"/>
  <c r="AI103" i="39" s="1"/>
  <c r="J179" i="39"/>
  <c r="J104" i="39" s="1"/>
  <c r="W181" i="39"/>
  <c r="W106" i="39" s="1"/>
  <c r="H179" i="39"/>
  <c r="H104" i="39" s="1"/>
  <c r="U181" i="39"/>
  <c r="U106" i="39" s="1"/>
  <c r="AA180" i="39"/>
  <c r="AA105" i="39" s="1"/>
  <c r="AC180" i="39"/>
  <c r="AC105" i="39" s="1"/>
  <c r="Q178" i="39"/>
  <c r="Q103" i="39" s="1"/>
  <c r="AF179" i="39"/>
  <c r="AF104" i="39" s="1"/>
  <c r="M181" i="39"/>
  <c r="M106" i="39" s="1"/>
  <c r="Z181" i="39"/>
  <c r="Z106" i="39" s="1"/>
  <c r="AD179" i="39"/>
  <c r="AD104" i="39" s="1"/>
  <c r="F179" i="39"/>
  <c r="F104" i="39" s="1"/>
  <c r="AD178" i="39"/>
  <c r="AD103" i="39" s="1"/>
  <c r="Y178" i="39"/>
  <c r="Y103" i="39" s="1"/>
  <c r="K181" i="39"/>
  <c r="K106" i="39" s="1"/>
  <c r="Q181" i="39"/>
  <c r="Q106" i="39" s="1"/>
  <c r="I178" i="39"/>
  <c r="I103" i="39" s="1"/>
  <c r="X180" i="39"/>
  <c r="X105" i="39" s="1"/>
  <c r="N178" i="39"/>
  <c r="N103" i="39" s="1"/>
  <c r="AG181" i="39"/>
  <c r="AG106" i="39" s="1"/>
  <c r="R181" i="39"/>
  <c r="R106" i="39" s="1"/>
  <c r="G178" i="39"/>
  <c r="G103" i="39" s="1"/>
  <c r="X181" i="39"/>
  <c r="X106" i="39" s="1"/>
  <c r="AE181" i="39"/>
  <c r="AE106" i="39" s="1"/>
  <c r="AG180" i="39"/>
  <c r="AG105" i="39" s="1"/>
  <c r="AE179" i="39"/>
  <c r="AE104" i="39" s="1"/>
  <c r="P180" i="39"/>
  <c r="P105" i="39" s="1"/>
  <c r="R180" i="39"/>
  <c r="R105" i="39" s="1"/>
  <c r="U180" i="39"/>
  <c r="U105" i="39" s="1"/>
  <c r="H181" i="39"/>
  <c r="H106" i="39" s="1"/>
  <c r="L180" i="39"/>
  <c r="L105" i="39" s="1"/>
  <c r="F181" i="39"/>
  <c r="F106" i="39" s="1"/>
  <c r="AD180" i="39"/>
  <c r="AD105" i="39" s="1"/>
  <c r="S180" i="39"/>
  <c r="S105" i="39" s="1"/>
  <c r="AI179" i="39"/>
  <c r="AI104" i="39" s="1"/>
  <c r="S178" i="39"/>
  <c r="S103" i="39" s="1"/>
  <c r="AG179" i="39"/>
  <c r="AG104" i="39" s="1"/>
  <c r="U178" i="39"/>
  <c r="U103" i="39" s="1"/>
  <c r="AI180" i="39"/>
  <c r="AI105" i="39" s="1"/>
  <c r="G179" i="39"/>
  <c r="G104" i="39" s="1"/>
  <c r="AF181" i="39"/>
  <c r="AF106" i="39" s="1"/>
  <c r="AA181" i="39"/>
  <c r="AA106" i="39" s="1"/>
  <c r="AI181" i="39"/>
  <c r="AI106" i="39" s="1"/>
  <c r="AH181" i="39"/>
  <c r="AH106" i="39" s="1"/>
  <c r="J178" i="39"/>
  <c r="J103" i="39" s="1"/>
  <c r="T178" i="39"/>
  <c r="T103" i="39" s="1"/>
  <c r="X179" i="39"/>
  <c r="X104" i="39" s="1"/>
  <c r="AG178" i="39"/>
  <c r="AG103" i="39" s="1"/>
  <c r="G181" i="39"/>
  <c r="G106" i="39" s="1"/>
  <c r="AB179" i="39"/>
  <c r="AB104" i="39" s="1"/>
  <c r="AF180" i="39"/>
  <c r="AF105" i="39" s="1"/>
  <c r="S181" i="39"/>
  <c r="S106" i="39" s="1"/>
  <c r="O179" i="39"/>
  <c r="O104" i="39" s="1"/>
  <c r="I181" i="39"/>
  <c r="I106" i="39" s="1"/>
  <c r="AB178" i="39"/>
  <c r="AB103" i="39" s="1"/>
  <c r="I180" i="39"/>
  <c r="I105" i="39" s="1"/>
  <c r="V180" i="39"/>
  <c r="V105" i="39" s="1"/>
  <c r="AC178" i="39"/>
  <c r="AC103" i="39" s="1"/>
  <c r="W178" i="39"/>
  <c r="W103" i="39" s="1"/>
  <c r="G180" i="39"/>
  <c r="G105" i="39" s="1"/>
  <c r="Z178" i="39"/>
  <c r="Z103" i="39" s="1"/>
  <c r="T180" i="39"/>
  <c r="T105" i="39" s="1"/>
  <c r="AB180" i="39"/>
  <c r="AB105" i="39" s="1"/>
  <c r="AE178" i="39"/>
  <c r="AE103" i="39" s="1"/>
  <c r="AC179" i="39"/>
  <c r="AC104" i="39" s="1"/>
  <c r="P164" i="39" l="1"/>
  <c r="P41" i="38"/>
  <c r="O163" i="39"/>
  <c r="O40" i="38"/>
  <c r="M161" i="39"/>
  <c r="M38" i="38"/>
  <c r="L37" i="38"/>
  <c r="M37" i="38"/>
  <c r="K178" i="39"/>
  <c r="K103" i="39" s="1"/>
  <c r="J109" i="39"/>
  <c r="J108" i="39" s="1"/>
  <c r="J183" i="39"/>
  <c r="F103" i="39"/>
  <c r="F101" i="39" s="1"/>
  <c r="F176" i="39"/>
  <c r="H103" i="39"/>
  <c r="H176" i="39"/>
  <c r="M83" i="39"/>
  <c r="L83" i="39"/>
  <c r="L81" i="39" s="1"/>
  <c r="M8" i="37" s="1"/>
  <c r="L185" i="39"/>
  <c r="K7" i="37"/>
  <c r="K10" i="37" s="1"/>
  <c r="K11" i="37" s="1"/>
  <c r="K23" i="37" s="1"/>
  <c r="K89" i="39"/>
  <c r="K88" i="39" s="1"/>
  <c r="L9" i="37" s="1"/>
  <c r="P93" i="39"/>
  <c r="P88" i="39" s="1"/>
  <c r="Q9" i="37" s="1"/>
  <c r="P195" i="39"/>
  <c r="P188" i="39"/>
  <c r="P183" i="39" s="1"/>
  <c r="P86" i="39"/>
  <c r="P81" i="39" s="1"/>
  <c r="N194" i="39"/>
  <c r="O170" i="39"/>
  <c r="O187" i="39"/>
  <c r="O85" i="39"/>
  <c r="M84" i="39"/>
  <c r="N162" i="39"/>
  <c r="M193" i="39"/>
  <c r="N90" i="38" s="1"/>
  <c r="M118" i="39" s="1"/>
  <c r="N169" i="39"/>
  <c r="L192" i="39"/>
  <c r="M168" i="39"/>
  <c r="J95" i="39"/>
  <c r="J10" i="37"/>
  <c r="J11" i="37" s="1"/>
  <c r="J23" i="37" s="1"/>
  <c r="L88" i="39"/>
  <c r="M9" i="37" s="1"/>
  <c r="N113" i="39"/>
  <c r="N187" i="39"/>
  <c r="N112" i="39" s="1"/>
  <c r="N85" i="39"/>
  <c r="O86" i="39"/>
  <c r="O188" i="39"/>
  <c r="K82" i="39"/>
  <c r="K81" i="39" s="1"/>
  <c r="L8" i="37" s="1"/>
  <c r="K184" i="39"/>
  <c r="M91" i="39"/>
  <c r="M186" i="39"/>
  <c r="L179" i="39"/>
  <c r="L104" i="39" s="1"/>
  <c r="M180" i="39"/>
  <c r="M105" i="39" s="1"/>
  <c r="N92" i="39"/>
  <c r="F11" i="37"/>
  <c r="F13" i="37" s="1"/>
  <c r="F32" i="37"/>
  <c r="L88" i="38"/>
  <c r="I177" i="39"/>
  <c r="AG177" i="39"/>
  <c r="T177" i="39"/>
  <c r="AC177" i="39"/>
  <c r="J177" i="39"/>
  <c r="AD177" i="39"/>
  <c r="P177" i="39"/>
  <c r="V177" i="39"/>
  <c r="AA177" i="39"/>
  <c r="L177" i="39"/>
  <c r="U177" i="39"/>
  <c r="H102" i="39"/>
  <c r="Z177" i="39"/>
  <c r="AH177" i="39"/>
  <c r="Y177" i="39"/>
  <c r="AI177" i="39"/>
  <c r="Q177" i="39"/>
  <c r="S177" i="39"/>
  <c r="X177" i="39"/>
  <c r="AF177" i="39"/>
  <c r="W177" i="39"/>
  <c r="AB177" i="39"/>
  <c r="R177" i="39"/>
  <c r="G177" i="39"/>
  <c r="O177" i="39"/>
  <c r="M177" i="39"/>
  <c r="N177" i="39"/>
  <c r="AE177" i="39"/>
  <c r="Q41" i="38" l="1"/>
  <c r="R41" i="38"/>
  <c r="P40" i="38"/>
  <c r="Q40" i="38"/>
  <c r="O39" i="38"/>
  <c r="P39" i="38"/>
  <c r="M185" i="39"/>
  <c r="M110" i="39" s="1"/>
  <c r="N38" i="38"/>
  <c r="E38" i="38" s="1"/>
  <c r="O38" i="38"/>
  <c r="M81" i="39"/>
  <c r="N8" i="37" s="1"/>
  <c r="H101" i="39"/>
  <c r="H122" i="39" s="1"/>
  <c r="I12" i="37" s="1"/>
  <c r="F39" i="2"/>
  <c r="L183" i="39"/>
  <c r="O183" i="39"/>
  <c r="K177" i="39"/>
  <c r="M4" i="21" s="1"/>
  <c r="N4" i="21" s="1"/>
  <c r="K183" i="39"/>
  <c r="M89" i="38"/>
  <c r="L117" i="39" s="1"/>
  <c r="L115" i="39" s="1"/>
  <c r="L190" i="39"/>
  <c r="M102" i="39"/>
  <c r="Q92" i="38"/>
  <c r="P120" i="39" s="1"/>
  <c r="P115" i="39" s="1"/>
  <c r="P190" i="39"/>
  <c r="AH102" i="39"/>
  <c r="AH101" i="39" s="1"/>
  <c r="AH122" i="39" s="1"/>
  <c r="AI12" i="37" s="1"/>
  <c r="AI13" i="37" s="1"/>
  <c r="AH176" i="39"/>
  <c r="O102" i="39"/>
  <c r="U102" i="39"/>
  <c r="U101" i="39" s="1"/>
  <c r="U122" i="39" s="1"/>
  <c r="V12" i="37" s="1"/>
  <c r="U176" i="39"/>
  <c r="G102" i="39"/>
  <c r="G101" i="39" s="1"/>
  <c r="G122" i="39" s="1"/>
  <c r="H12" i="37" s="1"/>
  <c r="G176" i="39"/>
  <c r="L102" i="39"/>
  <c r="R102" i="39"/>
  <c r="R101" i="39" s="1"/>
  <c r="R122" i="39" s="1"/>
  <c r="S12" i="37" s="1"/>
  <c r="R176" i="39"/>
  <c r="AA102" i="39"/>
  <c r="AA101" i="39" s="1"/>
  <c r="AA122" i="39" s="1"/>
  <c r="AB12" i="37" s="1"/>
  <c r="AA176" i="39"/>
  <c r="N102" i="39"/>
  <c r="Z102" i="39"/>
  <c r="Z101" i="39" s="1"/>
  <c r="Z122" i="39" s="1"/>
  <c r="AA12" i="37" s="1"/>
  <c r="Z176" i="39"/>
  <c r="V102" i="39"/>
  <c r="V101" i="39" s="1"/>
  <c r="V122" i="39" s="1"/>
  <c r="W12" i="37" s="1"/>
  <c r="V176" i="39"/>
  <c r="AG102" i="39"/>
  <c r="AG101" i="39" s="1"/>
  <c r="AG122" i="39" s="1"/>
  <c r="AH12" i="37" s="1"/>
  <c r="AH24" i="37" s="1"/>
  <c r="AH22" i="37" s="1"/>
  <c r="AG176" i="39"/>
  <c r="I102" i="39"/>
  <c r="I101" i="39" s="1"/>
  <c r="I122" i="39" s="1"/>
  <c r="J12" i="37" s="1"/>
  <c r="I176" i="39"/>
  <c r="AI102" i="39"/>
  <c r="AI101" i="39" s="1"/>
  <c r="AI122" i="39" s="1"/>
  <c r="AJ12" i="37" s="1"/>
  <c r="AJ24" i="37" s="1"/>
  <c r="AJ22" i="37" s="1"/>
  <c r="AI176" i="39"/>
  <c r="Y102" i="39"/>
  <c r="Y101" i="39" s="1"/>
  <c r="Y122" i="39" s="1"/>
  <c r="Z12" i="37" s="1"/>
  <c r="Y176" i="39"/>
  <c r="AE102" i="39"/>
  <c r="AE101" i="39" s="1"/>
  <c r="AE122" i="39" s="1"/>
  <c r="AF12" i="37" s="1"/>
  <c r="AF24" i="37" s="1"/>
  <c r="AF22" i="37" s="1"/>
  <c r="AE176" i="39"/>
  <c r="AB102" i="39"/>
  <c r="AB101" i="39" s="1"/>
  <c r="AB122" i="39" s="1"/>
  <c r="AC12" i="37" s="1"/>
  <c r="AB176" i="39"/>
  <c r="W102" i="39"/>
  <c r="W101" i="39" s="1"/>
  <c r="W122" i="39" s="1"/>
  <c r="X12" i="37" s="1"/>
  <c r="W176" i="39"/>
  <c r="P102" i="39"/>
  <c r="AF102" i="39"/>
  <c r="AF101" i="39" s="1"/>
  <c r="AF122" i="39" s="1"/>
  <c r="AG12" i="37" s="1"/>
  <c r="AG24" i="37" s="1"/>
  <c r="AG22" i="37" s="1"/>
  <c r="AF176" i="39"/>
  <c r="AD102" i="39"/>
  <c r="AD101" i="39" s="1"/>
  <c r="AD122" i="39" s="1"/>
  <c r="AE12" i="37" s="1"/>
  <c r="AE13" i="37" s="1"/>
  <c r="AD176" i="39"/>
  <c r="X102" i="39"/>
  <c r="X101" i="39" s="1"/>
  <c r="X122" i="39" s="1"/>
  <c r="Y12" i="37" s="1"/>
  <c r="X176" i="39"/>
  <c r="J102" i="39"/>
  <c r="J101" i="39" s="1"/>
  <c r="J122" i="39" s="1"/>
  <c r="K12" i="37" s="1"/>
  <c r="J176" i="39"/>
  <c r="S102" i="39"/>
  <c r="S101" i="39" s="1"/>
  <c r="S122" i="39" s="1"/>
  <c r="T12" i="37" s="1"/>
  <c r="S176" i="39"/>
  <c r="AC102" i="39"/>
  <c r="AC101" i="39" s="1"/>
  <c r="AC122" i="39" s="1"/>
  <c r="AD12" i="37" s="1"/>
  <c r="AD24" i="37" s="1"/>
  <c r="AD22" i="37" s="1"/>
  <c r="AC176" i="39"/>
  <c r="Q102" i="39"/>
  <c r="Q101" i="39" s="1"/>
  <c r="Q122" i="39" s="1"/>
  <c r="R12" i="37" s="1"/>
  <c r="Q176" i="39"/>
  <c r="T102" i="39"/>
  <c r="T101" i="39" s="1"/>
  <c r="T122" i="39" s="1"/>
  <c r="U12" i="37" s="1"/>
  <c r="T176" i="39"/>
  <c r="F14" i="37"/>
  <c r="K17" i="37"/>
  <c r="K32" i="37" s="1"/>
  <c r="L110" i="39"/>
  <c r="L108" i="39" s="1"/>
  <c r="O81" i="39"/>
  <c r="P8" i="37" s="1"/>
  <c r="Q8" i="37"/>
  <c r="Q7" i="37" s="1"/>
  <c r="P95" i="39"/>
  <c r="P113" i="39"/>
  <c r="P108" i="39" s="1"/>
  <c r="P181" i="39"/>
  <c r="P106" i="39" s="1"/>
  <c r="O112" i="39"/>
  <c r="O194" i="39"/>
  <c r="O92" i="39"/>
  <c r="O88" i="39" s="1"/>
  <c r="P9" i="37" s="1"/>
  <c r="L95" i="39"/>
  <c r="N193" i="39"/>
  <c r="N91" i="39"/>
  <c r="N88" i="39" s="1"/>
  <c r="O9" i="37" s="1"/>
  <c r="N84" i="39"/>
  <c r="N81" i="39" s="1"/>
  <c r="N186" i="39"/>
  <c r="N183" i="39" s="1"/>
  <c r="L178" i="39"/>
  <c r="L103" i="39" s="1"/>
  <c r="E40" i="38"/>
  <c r="M192" i="39"/>
  <c r="M190" i="39" s="1"/>
  <c r="M90" i="39"/>
  <c r="M88" i="39" s="1"/>
  <c r="N9" i="37" s="1"/>
  <c r="E37" i="38"/>
  <c r="E41" i="38"/>
  <c r="K95" i="39"/>
  <c r="H39" i="2"/>
  <c r="O113" i="39"/>
  <c r="O181" i="39"/>
  <c r="I39" i="2"/>
  <c r="K109" i="39"/>
  <c r="K108" i="39" s="1"/>
  <c r="E39" i="2"/>
  <c r="M111" i="39"/>
  <c r="M108" i="39" s="1"/>
  <c r="M179" i="39"/>
  <c r="F122" i="39"/>
  <c r="G12" i="37" s="1"/>
  <c r="O91" i="38"/>
  <c r="N119" i="39" s="1"/>
  <c r="N180" i="39"/>
  <c r="L7" i="37"/>
  <c r="M7" i="37"/>
  <c r="F23" i="37"/>
  <c r="F22" i="37" s="1"/>
  <c r="K116" i="39"/>
  <c r="K115" i="39" s="1"/>
  <c r="E39" i="38" l="1"/>
  <c r="M183" i="39"/>
  <c r="N7" i="37"/>
  <c r="N17" i="37" s="1"/>
  <c r="N32" i="37" s="1"/>
  <c r="D9" i="37"/>
  <c r="K176" i="39"/>
  <c r="K102" i="39"/>
  <c r="K101" i="39" s="1"/>
  <c r="K122" i="39" s="1"/>
  <c r="L12" i="37" s="1"/>
  <c r="L24" i="37" s="1"/>
  <c r="AE24" i="37"/>
  <c r="AE22" i="37" s="1"/>
  <c r="AF30" i="37" s="1"/>
  <c r="AI24" i="37"/>
  <c r="AI22" i="37" s="1"/>
  <c r="AJ30" i="37" s="1"/>
  <c r="AJ13" i="37"/>
  <c r="AJ14" i="37" s="1"/>
  <c r="AG13" i="37"/>
  <c r="AG29" i="37" s="1"/>
  <c r="P101" i="39"/>
  <c r="P122" i="39" s="1"/>
  <c r="Q12" i="37" s="1"/>
  <c r="Q24" i="37" s="1"/>
  <c r="AD13" i="37"/>
  <c r="AD14" i="37" s="1"/>
  <c r="L101" i="39"/>
  <c r="L122" i="39" s="1"/>
  <c r="M12" i="37" s="1"/>
  <c r="M24" i="37" s="1"/>
  <c r="AF13" i="37"/>
  <c r="AF29" i="37" s="1"/>
  <c r="P91" i="38"/>
  <c r="O119" i="39" s="1"/>
  <c r="O115" i="39" s="1"/>
  <c r="O190" i="39"/>
  <c r="AH13" i="37"/>
  <c r="AH29" i="37" s="1"/>
  <c r="O90" i="38"/>
  <c r="N118" i="39" s="1"/>
  <c r="N115" i="39" s="1"/>
  <c r="N190" i="39"/>
  <c r="P176" i="39"/>
  <c r="L176" i="39"/>
  <c r="AG30" i="37"/>
  <c r="AH30" i="37"/>
  <c r="AI29" i="37"/>
  <c r="AI14" i="37"/>
  <c r="AE29" i="37"/>
  <c r="AE14" i="37"/>
  <c r="O95" i="39"/>
  <c r="O108" i="39"/>
  <c r="Q17" i="37"/>
  <c r="Q32" i="37" s="1"/>
  <c r="Q10" i="37"/>
  <c r="Q11" i="37" s="1"/>
  <c r="Q23" i="37" s="1"/>
  <c r="P7" i="37"/>
  <c r="P10" i="37" s="1"/>
  <c r="P11" i="37" s="1"/>
  <c r="P23" i="37" s="1"/>
  <c r="O180" i="39"/>
  <c r="O8" i="37"/>
  <c r="O7" i="37" s="1"/>
  <c r="N95" i="39"/>
  <c r="N111" i="39"/>
  <c r="N108" i="39" s="1"/>
  <c r="N179" i="39"/>
  <c r="G39" i="2"/>
  <c r="N89" i="38"/>
  <c r="M117" i="39" s="1"/>
  <c r="M115" i="39" s="1"/>
  <c r="M178" i="39"/>
  <c r="M176" i="39" s="1"/>
  <c r="M95" i="39"/>
  <c r="O106" i="39"/>
  <c r="M8" i="21"/>
  <c r="N8" i="21" s="1"/>
  <c r="M104" i="39"/>
  <c r="G13" i="37"/>
  <c r="G24" i="37"/>
  <c r="G22" i="37" s="1"/>
  <c r="G30" i="37" s="1"/>
  <c r="E9" i="37"/>
  <c r="N105" i="39"/>
  <c r="R24" i="37"/>
  <c r="R22" i="37" s="1"/>
  <c r="R13" i="37"/>
  <c r="R14" i="37" s="1"/>
  <c r="Y24" i="37"/>
  <c r="Y22" i="37" s="1"/>
  <c r="Y13" i="37"/>
  <c r="Y14" i="37" s="1"/>
  <c r="AB24" i="37"/>
  <c r="AB22" i="37" s="1"/>
  <c r="AB13" i="37"/>
  <c r="AB14" i="37" s="1"/>
  <c r="J13" i="37"/>
  <c r="J14" i="37" s="1"/>
  <c r="J24" i="37"/>
  <c r="J22" i="37" s="1"/>
  <c r="T24" i="37"/>
  <c r="T22" i="37" s="1"/>
  <c r="T13" i="37"/>
  <c r="T14" i="37" s="1"/>
  <c r="W24" i="37"/>
  <c r="W22" i="37" s="1"/>
  <c r="W13" i="37"/>
  <c r="W14" i="37" s="1"/>
  <c r="S13" i="37"/>
  <c r="S14" i="37" s="1"/>
  <c r="S24" i="37"/>
  <c r="S22" i="37" s="1"/>
  <c r="X13" i="37"/>
  <c r="X14" i="37" s="1"/>
  <c r="X24" i="37"/>
  <c r="X22" i="37" s="1"/>
  <c r="AA24" i="37"/>
  <c r="AA22" i="37" s="1"/>
  <c r="AA13" i="37"/>
  <c r="AA14" i="37" s="1"/>
  <c r="U24" i="37"/>
  <c r="U22" i="37" s="1"/>
  <c r="U13" i="37"/>
  <c r="U14" i="37" s="1"/>
  <c r="I24" i="37"/>
  <c r="I22" i="37" s="1"/>
  <c r="I13" i="37"/>
  <c r="I14" i="37" s="1"/>
  <c r="H24" i="37"/>
  <c r="H22" i="37" s="1"/>
  <c r="H13" i="37"/>
  <c r="H14" i="37" s="1"/>
  <c r="AC13" i="37"/>
  <c r="AC14" i="37" s="1"/>
  <c r="AC24" i="37"/>
  <c r="AC22" i="37" s="1"/>
  <c r="AD30" i="37" s="1"/>
  <c r="K24" i="37"/>
  <c r="K22" i="37" s="1"/>
  <c r="K13" i="37"/>
  <c r="K14" i="37" s="1"/>
  <c r="Z24" i="37"/>
  <c r="Z22" i="37" s="1"/>
  <c r="Z13" i="37"/>
  <c r="Z14" i="37" s="1"/>
  <c r="V24" i="37"/>
  <c r="V22" i="37" s="1"/>
  <c r="V13" i="37"/>
  <c r="V14" i="37" s="1"/>
  <c r="L10" i="37"/>
  <c r="L11" i="37" s="1"/>
  <c r="L23" i="37" s="1"/>
  <c r="L17" i="37"/>
  <c r="L32" i="37" s="1"/>
  <c r="M10" i="37"/>
  <c r="M17" i="37"/>
  <c r="F30" i="37"/>
  <c r="F29" i="37"/>
  <c r="F16" i="37"/>
  <c r="F18" i="37" s="1"/>
  <c r="N10" i="37" l="1"/>
  <c r="N11" i="37" s="1"/>
  <c r="N23" i="37" s="1"/>
  <c r="D8" i="37"/>
  <c r="AI30" i="37"/>
  <c r="AE30" i="37"/>
  <c r="AD29" i="37"/>
  <c r="AG14" i="37"/>
  <c r="AJ29" i="37"/>
  <c r="AF14" i="37"/>
  <c r="AH14" i="37"/>
  <c r="O105" i="39"/>
  <c r="O101" i="39" s="1"/>
  <c r="O122" i="39" s="1"/>
  <c r="P12" i="37" s="1"/>
  <c r="P24" i="37" s="1"/>
  <c r="P22" i="37" s="1"/>
  <c r="O176" i="39"/>
  <c r="N104" i="39"/>
  <c r="N101" i="39" s="1"/>
  <c r="N122" i="39" s="1"/>
  <c r="O12" i="37" s="1"/>
  <c r="N176" i="39"/>
  <c r="G14" i="37"/>
  <c r="M7" i="21"/>
  <c r="N7" i="21" s="1"/>
  <c r="Q13" i="37"/>
  <c r="Q14" i="37" s="1"/>
  <c r="P17" i="37"/>
  <c r="P32" i="37" s="1"/>
  <c r="Q22" i="37"/>
  <c r="R30" i="37" s="1"/>
  <c r="M6" i="21"/>
  <c r="N6" i="21" s="1"/>
  <c r="E8" i="37"/>
  <c r="E7" i="37"/>
  <c r="D7" i="37"/>
  <c r="O10" i="37"/>
  <c r="O11" i="37" s="1"/>
  <c r="O23" i="37" s="1"/>
  <c r="O17" i="37"/>
  <c r="O32" i="37" s="1"/>
  <c r="M103" i="39"/>
  <c r="M101" i="39" s="1"/>
  <c r="M122" i="39" s="1"/>
  <c r="N12" i="37" s="1"/>
  <c r="M5" i="21"/>
  <c r="N5" i="21" s="1"/>
  <c r="H30" i="37"/>
  <c r="G29" i="37"/>
  <c r="Z30" i="37"/>
  <c r="J30" i="37"/>
  <c r="U30" i="37"/>
  <c r="K30" i="37"/>
  <c r="F40" i="2"/>
  <c r="F42" i="2" s="1"/>
  <c r="G40" i="2"/>
  <c r="G42" i="2" s="1"/>
  <c r="G43" i="2" s="1" a="1"/>
  <c r="G43" i="2" s="1"/>
  <c r="G44" i="2" s="1"/>
  <c r="I40" i="2"/>
  <c r="I42" i="2" s="1"/>
  <c r="I43" i="2" s="1" a="1"/>
  <c r="I43" i="2" s="1"/>
  <c r="I44" i="2" s="1"/>
  <c r="AC30" i="37"/>
  <c r="H40" i="2"/>
  <c r="H42" i="2" s="1"/>
  <c r="M11" i="37"/>
  <c r="M23" i="37" s="1"/>
  <c r="M22" i="37" s="1"/>
  <c r="Y30" i="37"/>
  <c r="V30" i="37"/>
  <c r="S29" i="37"/>
  <c r="Z29" i="37"/>
  <c r="U29" i="37"/>
  <c r="W29" i="37"/>
  <c r="T30" i="37"/>
  <c r="J29" i="37"/>
  <c r="V29" i="37"/>
  <c r="T29" i="37"/>
  <c r="AA30" i="37"/>
  <c r="H29" i="37"/>
  <c r="W30" i="37"/>
  <c r="K29" i="37"/>
  <c r="Y29" i="37"/>
  <c r="R29" i="37"/>
  <c r="AC29" i="37"/>
  <c r="AA29" i="37"/>
  <c r="AB29" i="37"/>
  <c r="AB30" i="37"/>
  <c r="I29" i="37"/>
  <c r="X30" i="37"/>
  <c r="I30" i="37"/>
  <c r="X29" i="37"/>
  <c r="S30" i="37"/>
  <c r="L13" i="37"/>
  <c r="L14" i="37" s="1"/>
  <c r="L22" i="37"/>
  <c r="L30" i="37" s="1"/>
  <c r="M32" i="37"/>
  <c r="D29" i="21" l="1" a="1"/>
  <c r="Q29" i="37"/>
  <c r="Q30" i="37"/>
  <c r="P13" i="37"/>
  <c r="P29" i="37" s="1"/>
  <c r="N24" i="37"/>
  <c r="N22" i="37" s="1"/>
  <c r="N30" i="37" s="1"/>
  <c r="N13" i="37"/>
  <c r="N14" i="37" s="1"/>
  <c r="E10" i="37"/>
  <c r="E17" i="37"/>
  <c r="D28" i="21" a="1"/>
  <c r="D28" i="21" s="1"/>
  <c r="O24" i="37"/>
  <c r="O22" i="37" s="1"/>
  <c r="O13" i="37"/>
  <c r="D12" i="37"/>
  <c r="E12" i="37"/>
  <c r="E40" i="2"/>
  <c r="E42" i="2" s="1"/>
  <c r="E43" i="2" s="1" a="1"/>
  <c r="E43" i="2" s="1"/>
  <c r="E44" i="2" s="1"/>
  <c r="F43" i="2" a="1"/>
  <c r="F43" i="2" s="1"/>
  <c r="F44" i="2" s="1"/>
  <c r="M13" i="37"/>
  <c r="M14" i="37" s="1"/>
  <c r="H43" i="2" a="1"/>
  <c r="H43" i="2" s="1"/>
  <c r="H44" i="2" s="1"/>
  <c r="D11" i="37"/>
  <c r="E11" i="37"/>
  <c r="L29" i="37"/>
  <c r="E32" i="37"/>
  <c r="D32" i="37"/>
  <c r="M30" i="37"/>
  <c r="E33" i="21" l="1"/>
  <c r="E34" i="21"/>
  <c r="H33" i="21"/>
  <c r="H34" i="21"/>
  <c r="D29" i="21"/>
  <c r="D34" i="21" s="1"/>
  <c r="G34" i="21"/>
  <c r="F34" i="21"/>
  <c r="F33" i="21"/>
  <c r="G33" i="21"/>
  <c r="N29" i="37"/>
  <c r="P14" i="37"/>
  <c r="C33" i="42" a="1"/>
  <c r="C33" i="42" s="1"/>
  <c r="C35" i="42" a="1"/>
  <c r="C35" i="42" s="1"/>
  <c r="C36" i="42" a="1"/>
  <c r="C36" i="42" s="1"/>
  <c r="C34" i="42" a="1"/>
  <c r="C34" i="42" s="1"/>
  <c r="C37" i="42" a="1"/>
  <c r="C37" i="42" s="1"/>
  <c r="N126" i="39"/>
  <c r="X126" i="39"/>
  <c r="AI126" i="39"/>
  <c r="AF126" i="39"/>
  <c r="Z126" i="39"/>
  <c r="J126" i="39"/>
  <c r="AE126" i="39"/>
  <c r="AB126" i="39"/>
  <c r="M126" i="39"/>
  <c r="Q126" i="39"/>
  <c r="W126" i="39"/>
  <c r="AG126" i="39"/>
  <c r="H126" i="39"/>
  <c r="P126" i="39"/>
  <c r="F126" i="39"/>
  <c r="R126" i="39"/>
  <c r="I126" i="39"/>
  <c r="AA126" i="39"/>
  <c r="E126" i="39"/>
  <c r="O126" i="39"/>
  <c r="G126" i="39"/>
  <c r="L126" i="39"/>
  <c r="S126" i="39"/>
  <c r="AD126" i="39"/>
  <c r="U126" i="39"/>
  <c r="Y126" i="39"/>
  <c r="K126" i="39"/>
  <c r="V126" i="39"/>
  <c r="AH126" i="39"/>
  <c r="T126" i="39"/>
  <c r="AC126" i="39"/>
  <c r="V129" i="39"/>
  <c r="H129" i="39"/>
  <c r="AI129" i="39"/>
  <c r="U129" i="39"/>
  <c r="G129" i="39"/>
  <c r="W129" i="39"/>
  <c r="AH129" i="39"/>
  <c r="T129" i="39"/>
  <c r="F129" i="39"/>
  <c r="AG129" i="39"/>
  <c r="S129" i="39"/>
  <c r="E129" i="39"/>
  <c r="N129" i="39"/>
  <c r="Y129" i="39"/>
  <c r="AB129" i="39"/>
  <c r="Z129" i="39"/>
  <c r="AF129" i="39"/>
  <c r="R129" i="39"/>
  <c r="AE129" i="39"/>
  <c r="Q129" i="39"/>
  <c r="J129" i="39"/>
  <c r="M129" i="39"/>
  <c r="K129" i="39"/>
  <c r="AD129" i="39"/>
  <c r="P129" i="39"/>
  <c r="AC129" i="39"/>
  <c r="O129" i="39"/>
  <c r="AA129" i="39"/>
  <c r="L129" i="39"/>
  <c r="X129" i="39"/>
  <c r="I129" i="39"/>
  <c r="Y128" i="39"/>
  <c r="K128" i="39"/>
  <c r="X128" i="39"/>
  <c r="AB128" i="39"/>
  <c r="J128" i="39"/>
  <c r="Q128" i="39"/>
  <c r="N128" i="39"/>
  <c r="W128" i="39"/>
  <c r="I128" i="39"/>
  <c r="H128" i="39"/>
  <c r="AD128" i="39"/>
  <c r="AC128" i="39"/>
  <c r="M128" i="39"/>
  <c r="L128" i="39"/>
  <c r="V128" i="39"/>
  <c r="AA128" i="39"/>
  <c r="AI128" i="39"/>
  <c r="U128" i="39"/>
  <c r="G128" i="39"/>
  <c r="T128" i="39"/>
  <c r="F128" i="39"/>
  <c r="AE128" i="39"/>
  <c r="P128" i="39"/>
  <c r="O128" i="39"/>
  <c r="AH128" i="39"/>
  <c r="Z128" i="39"/>
  <c r="AG128" i="39"/>
  <c r="S128" i="39"/>
  <c r="E128" i="39"/>
  <c r="AF128" i="39"/>
  <c r="R128" i="39"/>
  <c r="D13" i="37"/>
  <c r="M29" i="37"/>
  <c r="O14" i="37"/>
  <c r="O29" i="37"/>
  <c r="O30" i="37"/>
  <c r="P30" i="37"/>
  <c r="E13" i="37"/>
  <c r="E14" i="37" l="1"/>
  <c r="D43" i="37"/>
  <c r="D33" i="21"/>
  <c r="D29" i="37"/>
  <c r="AB127" i="39"/>
  <c r="N127" i="39"/>
  <c r="AA127" i="39"/>
  <c r="M127" i="39"/>
  <c r="AG127" i="39"/>
  <c r="AF127" i="39"/>
  <c r="P127" i="39"/>
  <c r="AC127" i="39"/>
  <c r="Z127" i="39"/>
  <c r="L127" i="39"/>
  <c r="Y127" i="39"/>
  <c r="K127" i="39"/>
  <c r="AH127" i="39"/>
  <c r="E127" i="39"/>
  <c r="F137" i="39" s="1"/>
  <c r="I127" i="39"/>
  <c r="AE127" i="39"/>
  <c r="O127" i="39"/>
  <c r="X127" i="39"/>
  <c r="J127" i="39"/>
  <c r="W127" i="39"/>
  <c r="T127" i="39"/>
  <c r="F127" i="39"/>
  <c r="R127" i="39"/>
  <c r="Q127" i="39"/>
  <c r="AD127" i="39"/>
  <c r="V127" i="39"/>
  <c r="H127" i="39"/>
  <c r="AI127" i="39"/>
  <c r="U127" i="39"/>
  <c r="G127" i="39"/>
  <c r="S127" i="39"/>
  <c r="E29" i="37"/>
  <c r="F125" i="39"/>
  <c r="D30" i="37"/>
  <c r="E30" i="37"/>
  <c r="F139" i="39"/>
  <c r="F138" i="39"/>
  <c r="E134" i="39"/>
  <c r="AH125" i="39" l="1"/>
  <c r="AH124" i="39" s="1"/>
  <c r="T125" i="39"/>
  <c r="T124" i="39" s="1"/>
  <c r="F124" i="39"/>
  <c r="S125" i="39"/>
  <c r="S124" i="39" s="1"/>
  <c r="E125" i="39"/>
  <c r="F135" i="39" s="1"/>
  <c r="Y125" i="39"/>
  <c r="Y124" i="39" s="1"/>
  <c r="AI125" i="39"/>
  <c r="AI124" i="39" s="1"/>
  <c r="AG125" i="39"/>
  <c r="AG124" i="39" s="1"/>
  <c r="M125" i="39"/>
  <c r="M124" i="39" s="1"/>
  <c r="AF125" i="39"/>
  <c r="AF124" i="39" s="1"/>
  <c r="R125" i="39"/>
  <c r="R124" i="39" s="1"/>
  <c r="AE125" i="39"/>
  <c r="AE124" i="39" s="1"/>
  <c r="Z125" i="39"/>
  <c r="Z124" i="39" s="1"/>
  <c r="I125" i="39"/>
  <c r="I124" i="39" s="1"/>
  <c r="H125" i="39"/>
  <c r="H124" i="39" s="1"/>
  <c r="U125" i="39"/>
  <c r="U124" i="39" s="1"/>
  <c r="Q125" i="39"/>
  <c r="Q124" i="39" s="1"/>
  <c r="AC125" i="39"/>
  <c r="AC124" i="39" s="1"/>
  <c r="X125" i="39"/>
  <c r="X124" i="39" s="1"/>
  <c r="G125" i="39"/>
  <c r="AD125" i="39"/>
  <c r="AD124" i="39" s="1"/>
  <c r="P125" i="39"/>
  <c r="P124" i="39" s="1"/>
  <c r="O125" i="39"/>
  <c r="O124" i="39" s="1"/>
  <c r="L125" i="39"/>
  <c r="L124" i="39" s="1"/>
  <c r="J125" i="39"/>
  <c r="J124" i="39" s="1"/>
  <c r="K125" i="39"/>
  <c r="K124" i="39" s="1"/>
  <c r="W125" i="39"/>
  <c r="W124" i="39" s="1"/>
  <c r="V125" i="39"/>
  <c r="V124" i="39" s="1"/>
  <c r="AB125" i="39"/>
  <c r="AB124" i="39" s="1"/>
  <c r="N125" i="39"/>
  <c r="N124" i="39" s="1"/>
  <c r="AA125" i="39"/>
  <c r="AA124" i="39" s="1"/>
  <c r="G139" i="39"/>
  <c r="G137" i="39"/>
  <c r="J139" i="39"/>
  <c r="L139" i="39"/>
  <c r="O139" i="39"/>
  <c r="Q139" i="39"/>
  <c r="N137" i="39"/>
  <c r="H137" i="39"/>
  <c r="I137" i="39"/>
  <c r="K139" i="39"/>
  <c r="H139" i="39"/>
  <c r="J137" i="39"/>
  <c r="M139" i="39"/>
  <c r="L138" i="39"/>
  <c r="K137" i="39"/>
  <c r="N139" i="39"/>
  <c r="L137" i="39"/>
  <c r="P139" i="39"/>
  <c r="Z137" i="39"/>
  <c r="AB137" i="39"/>
  <c r="O136" i="39"/>
  <c r="K136" i="39"/>
  <c r="M137" i="39"/>
  <c r="G138" i="39"/>
  <c r="I139" i="39"/>
  <c r="AA139" i="39"/>
  <c r="D126" i="39"/>
  <c r="Y139" i="39"/>
  <c r="AD136" i="39"/>
  <c r="Y138" i="39"/>
  <c r="U137" i="39"/>
  <c r="AB136" i="39"/>
  <c r="N138" i="39"/>
  <c r="U139" i="39"/>
  <c r="V139" i="39"/>
  <c r="I138" i="39"/>
  <c r="R139" i="39"/>
  <c r="S139" i="39"/>
  <c r="AB139" i="39"/>
  <c r="AD139" i="39"/>
  <c r="X138" i="39"/>
  <c r="AE139" i="39"/>
  <c r="AC136" i="39"/>
  <c r="W139" i="39"/>
  <c r="Z139" i="39"/>
  <c r="H138" i="39"/>
  <c r="P136" i="39"/>
  <c r="AG139" i="39"/>
  <c r="T139" i="39"/>
  <c r="X139" i="39"/>
  <c r="AE136" i="39"/>
  <c r="W137" i="39"/>
  <c r="M138" i="39"/>
  <c r="J138" i="39"/>
  <c r="D128" i="39"/>
  <c r="V137" i="39"/>
  <c r="K138" i="39"/>
  <c r="D127" i="39"/>
  <c r="AA137" i="39"/>
  <c r="AH139" i="39"/>
  <c r="AF139" i="39"/>
  <c r="O138" i="39"/>
  <c r="AC139" i="39"/>
  <c r="N136" i="39"/>
  <c r="S138" i="39"/>
  <c r="AA136" i="39"/>
  <c r="AG138" i="39"/>
  <c r="R138" i="39"/>
  <c r="AH138" i="39"/>
  <c r="AI139" i="39"/>
  <c r="Y137" i="39"/>
  <c r="S136" i="39"/>
  <c r="M136" i="39"/>
  <c r="D129" i="39"/>
  <c r="O137" i="39"/>
  <c r="P137" i="39"/>
  <c r="AG136" i="39"/>
  <c r="AH136" i="39"/>
  <c r="AI138" i="39"/>
  <c r="F136" i="39"/>
  <c r="AE137" i="39"/>
  <c r="Q137" i="39"/>
  <c r="T136" i="39"/>
  <c r="G136" i="39"/>
  <c r="AA138" i="39"/>
  <c r="Z138" i="39"/>
  <c r="W138" i="39"/>
  <c r="R137" i="39"/>
  <c r="AF137" i="39"/>
  <c r="U136" i="39"/>
  <c r="AI136" i="39"/>
  <c r="AB138" i="39"/>
  <c r="U138" i="39"/>
  <c r="H136" i="39"/>
  <c r="R136" i="39"/>
  <c r="V136" i="39"/>
  <c r="T137" i="39"/>
  <c r="W136" i="39"/>
  <c r="I136" i="39"/>
  <c r="P138" i="39"/>
  <c r="AD138" i="39"/>
  <c r="AF136" i="39"/>
  <c r="S137" i="39"/>
  <c r="AH137" i="39"/>
  <c r="J136" i="39"/>
  <c r="L136" i="39"/>
  <c r="Q138" i="39"/>
  <c r="AE138" i="39"/>
  <c r="AC137" i="39"/>
  <c r="AG137" i="39"/>
  <c r="AC138" i="39"/>
  <c r="X137" i="39"/>
  <c r="X136" i="39"/>
  <c r="Z136" i="39"/>
  <c r="T138" i="39"/>
  <c r="AF138" i="39"/>
  <c r="V138" i="39"/>
  <c r="AI137" i="39"/>
  <c r="Y136" i="39"/>
  <c r="AD137" i="39"/>
  <c r="Q136" i="39"/>
  <c r="G38" i="21" l="1"/>
  <c r="D36" i="42"/>
  <c r="E36" i="42" s="1"/>
  <c r="E38" i="21"/>
  <c r="D34" i="42"/>
  <c r="E34" i="42" s="1"/>
  <c r="H38" i="21"/>
  <c r="D37" i="42"/>
  <c r="E37" i="42" s="1"/>
  <c r="F38" i="21"/>
  <c r="D35" i="42"/>
  <c r="E35" i="42" s="1"/>
  <c r="E124" i="39"/>
  <c r="E198" i="39" s="1"/>
  <c r="E235" i="39" s="1"/>
  <c r="E237" i="39" s="1"/>
  <c r="F234" i="39" s="1"/>
  <c r="F134" i="39"/>
  <c r="F198" i="39" s="1"/>
  <c r="F235" i="39" s="1"/>
  <c r="G135" i="39"/>
  <c r="G134" i="39" s="1"/>
  <c r="M135" i="39"/>
  <c r="M134" i="39" s="1"/>
  <c r="M198" i="39" s="1"/>
  <c r="AA135" i="39"/>
  <c r="AA134" i="39" s="1"/>
  <c r="AA198" i="39" s="1"/>
  <c r="Y135" i="39"/>
  <c r="Y134" i="39" s="1"/>
  <c r="Y198" i="39" s="1"/>
  <c r="U135" i="39"/>
  <c r="U134" i="39" s="1"/>
  <c r="U198" i="39" s="1"/>
  <c r="AI135" i="39"/>
  <c r="AI134" i="39" s="1"/>
  <c r="AI198" i="39" s="1"/>
  <c r="AJ31" i="37" s="1"/>
  <c r="AJ33" i="37" s="1"/>
  <c r="AF135" i="39"/>
  <c r="AF134" i="39" s="1"/>
  <c r="AF198" i="39" s="1"/>
  <c r="AG31" i="37" s="1"/>
  <c r="AG33" i="37" s="1"/>
  <c r="J135" i="39"/>
  <c r="J134" i="39" s="1"/>
  <c r="J198" i="39" s="1"/>
  <c r="AH135" i="39"/>
  <c r="AH134" i="39" s="1"/>
  <c r="AH198" i="39" s="1"/>
  <c r="AI31" i="37" s="1"/>
  <c r="AI33" i="37" s="1"/>
  <c r="I135" i="39"/>
  <c r="I134" i="39" s="1"/>
  <c r="I198" i="39" s="1"/>
  <c r="G124" i="39"/>
  <c r="AB135" i="39"/>
  <c r="AB134" i="39" s="1"/>
  <c r="AB198" i="39" s="1"/>
  <c r="N135" i="39"/>
  <c r="N134" i="39" s="1"/>
  <c r="N198" i="39" s="1"/>
  <c r="O135" i="39"/>
  <c r="O134" i="39" s="1"/>
  <c r="O198" i="39" s="1"/>
  <c r="Z135" i="39"/>
  <c r="Z134" i="39" s="1"/>
  <c r="Z198" i="39" s="1"/>
  <c r="W135" i="39"/>
  <c r="W134" i="39" s="1"/>
  <c r="W198" i="39" s="1"/>
  <c r="AD135" i="39"/>
  <c r="AD134" i="39" s="1"/>
  <c r="AD198" i="39" s="1"/>
  <c r="AE31" i="37" s="1"/>
  <c r="AE33" i="37" s="1"/>
  <c r="H135" i="39"/>
  <c r="H134" i="39" s="1"/>
  <c r="H198" i="39" s="1"/>
  <c r="AE135" i="39"/>
  <c r="AE134" i="39" s="1"/>
  <c r="AE198" i="39" s="1"/>
  <c r="AF31" i="37" s="1"/>
  <c r="AF33" i="37" s="1"/>
  <c r="P135" i="39"/>
  <c r="P134" i="39" s="1"/>
  <c r="P198" i="39" s="1"/>
  <c r="Q135" i="39"/>
  <c r="Q134" i="39" s="1"/>
  <c r="Q198" i="39" s="1"/>
  <c r="K135" i="39"/>
  <c r="K134" i="39" s="1"/>
  <c r="K198" i="39" s="1"/>
  <c r="T135" i="39"/>
  <c r="T134" i="39" s="1"/>
  <c r="T198" i="39" s="1"/>
  <c r="X135" i="39"/>
  <c r="X134" i="39" s="1"/>
  <c r="X198" i="39" s="1"/>
  <c r="L135" i="39"/>
  <c r="L134" i="39" s="1"/>
  <c r="L198" i="39" s="1"/>
  <c r="V135" i="39"/>
  <c r="V134" i="39" s="1"/>
  <c r="V198" i="39" s="1"/>
  <c r="S135" i="39"/>
  <c r="S134" i="39" s="1"/>
  <c r="S198" i="39" s="1"/>
  <c r="AC135" i="39"/>
  <c r="AC134" i="39" s="1"/>
  <c r="AC198" i="39" s="1"/>
  <c r="AD31" i="37" s="1"/>
  <c r="AD33" i="37" s="1"/>
  <c r="AG135" i="39"/>
  <c r="AG134" i="39" s="1"/>
  <c r="AG198" i="39" s="1"/>
  <c r="AH31" i="37" s="1"/>
  <c r="AH33" i="37" s="1"/>
  <c r="D125" i="39"/>
  <c r="R135" i="39"/>
  <c r="R134" i="39" s="1"/>
  <c r="R198" i="39" s="1"/>
  <c r="D139" i="39"/>
  <c r="D136" i="39"/>
  <c r="D138" i="39"/>
  <c r="D137" i="39"/>
  <c r="AD38" i="37" l="1"/>
  <c r="AD37" i="37"/>
  <c r="AI38" i="37"/>
  <c r="AI37" i="37"/>
  <c r="AE37" i="37"/>
  <c r="AE38" i="37"/>
  <c r="AG37" i="37"/>
  <c r="AG38" i="37"/>
  <c r="AH38" i="37"/>
  <c r="AH37" i="37"/>
  <c r="AK33" i="37"/>
  <c r="AJ38" i="37"/>
  <c r="AJ37" i="37"/>
  <c r="AF37" i="37"/>
  <c r="AF38" i="37"/>
  <c r="D38" i="21"/>
  <c r="D33" i="42"/>
  <c r="F31" i="37"/>
  <c r="F33" i="37" s="1"/>
  <c r="D135" i="39"/>
  <c r="D134" i="39" s="1"/>
  <c r="D142" i="39" s="1"/>
  <c r="D124" i="39"/>
  <c r="G198" i="39"/>
  <c r="G31" i="37"/>
  <c r="G33" i="37" s="1"/>
  <c r="F25" i="37"/>
  <c r="F21" i="37" s="1"/>
  <c r="F26" i="37" s="1"/>
  <c r="F34" i="37" l="1"/>
  <c r="F38" i="37"/>
  <c r="F37" i="37"/>
  <c r="G38" i="37"/>
  <c r="G37" i="37"/>
  <c r="E33" i="42"/>
  <c r="F33" i="42" s="1"/>
  <c r="C38" i="19" s="1"/>
  <c r="G34" i="37" l="1"/>
  <c r="G35" i="37" s="1"/>
  <c r="F35" i="37"/>
  <c r="W31" i="37"/>
  <c r="W33" i="37" s="1"/>
  <c r="T31" i="37"/>
  <c r="T33" i="37" s="1"/>
  <c r="V31" i="37"/>
  <c r="V33" i="37" s="1"/>
  <c r="L235" i="39"/>
  <c r="M31" i="37"/>
  <c r="M33" i="37" s="1"/>
  <c r="AD235" i="39"/>
  <c r="AB235" i="39"/>
  <c r="AC31" i="37"/>
  <c r="AC33" i="37" s="1"/>
  <c r="G235" i="39"/>
  <c r="Y235" i="39"/>
  <c r="N31" i="37"/>
  <c r="N33" i="37" s="1"/>
  <c r="Z31" i="37"/>
  <c r="Z33" i="37" s="1"/>
  <c r="X31" i="37"/>
  <c r="X33" i="37" s="1"/>
  <c r="I31" i="37"/>
  <c r="I33" i="37" s="1"/>
  <c r="I38" i="37" s="1"/>
  <c r="AI235" i="39"/>
  <c r="Q31" i="37"/>
  <c r="Q33" i="37" s="1"/>
  <c r="J235" i="39"/>
  <c r="U31" i="37"/>
  <c r="U33" i="37" s="1"/>
  <c r="K31" i="37"/>
  <c r="K33" i="37" s="1"/>
  <c r="L31" i="37"/>
  <c r="L33" i="37" s="1"/>
  <c r="AC235" i="39"/>
  <c r="M235" i="39"/>
  <c r="O31" i="37"/>
  <c r="O33" i="37" s="1"/>
  <c r="AG235" i="39"/>
  <c r="J31" i="37"/>
  <c r="J33" i="37" s="1"/>
  <c r="S31" i="37"/>
  <c r="S33" i="37" s="1"/>
  <c r="T235" i="39"/>
  <c r="R235" i="39"/>
  <c r="X235" i="39"/>
  <c r="I235" i="39"/>
  <c r="U235" i="39"/>
  <c r="Y31" i="37"/>
  <c r="Y33" i="37" s="1"/>
  <c r="AE235" i="39"/>
  <c r="Z235" i="39"/>
  <c r="N235" i="39"/>
  <c r="W235" i="39"/>
  <c r="R31" i="37"/>
  <c r="R33" i="37" s="1"/>
  <c r="AB31" i="37"/>
  <c r="AB33" i="37" s="1"/>
  <c r="AA31" i="37"/>
  <c r="AA33" i="37" s="1"/>
  <c r="O235" i="39"/>
  <c r="AH235" i="39"/>
  <c r="H235" i="39"/>
  <c r="P235" i="39"/>
  <c r="Q235" i="39"/>
  <c r="K235" i="39"/>
  <c r="AA235" i="39"/>
  <c r="S235" i="39"/>
  <c r="AF235" i="39"/>
  <c r="P31" i="37"/>
  <c r="P33" i="37" s="1"/>
  <c r="V235" i="39"/>
  <c r="H31" i="37"/>
  <c r="H33" i="37" s="1"/>
  <c r="B200" i="39" a="1"/>
  <c r="G201" i="39" s="1"/>
  <c r="D42" i="37" l="1"/>
  <c r="I37" i="37"/>
  <c r="Z38" i="37"/>
  <c r="Z37" i="37"/>
  <c r="AC38" i="37"/>
  <c r="AC37" i="37"/>
  <c r="AA37" i="37"/>
  <c r="AA38" i="37"/>
  <c r="H38" i="37"/>
  <c r="H37" i="37"/>
  <c r="O37" i="37"/>
  <c r="O38" i="37"/>
  <c r="X37" i="37"/>
  <c r="X38" i="37"/>
  <c r="J38" i="37"/>
  <c r="J37" i="37"/>
  <c r="N38" i="37"/>
  <c r="N37" i="37"/>
  <c r="R37" i="37"/>
  <c r="R38" i="37"/>
  <c r="L38" i="37"/>
  <c r="L37" i="37"/>
  <c r="S37" i="37"/>
  <c r="S38" i="37"/>
  <c r="AB38" i="37"/>
  <c r="AB37" i="37"/>
  <c r="P37" i="37"/>
  <c r="P38" i="37"/>
  <c r="K37" i="37"/>
  <c r="K38" i="37"/>
  <c r="M37" i="37"/>
  <c r="M38" i="37"/>
  <c r="Y37" i="37"/>
  <c r="Y38" i="37"/>
  <c r="U38" i="37"/>
  <c r="U37" i="37"/>
  <c r="V38" i="37"/>
  <c r="V37" i="37"/>
  <c r="Q38" i="37"/>
  <c r="Q37" i="37"/>
  <c r="T38" i="37"/>
  <c r="T37" i="37"/>
  <c r="W37" i="37"/>
  <c r="W38" i="37"/>
  <c r="X210" i="39"/>
  <c r="AI205" i="39"/>
  <c r="AI209" i="39"/>
  <c r="AH205" i="39"/>
  <c r="AE203" i="39"/>
  <c r="AE204" i="39"/>
  <c r="AA201" i="39"/>
  <c r="AG203" i="39"/>
  <c r="AH206" i="39"/>
  <c r="AF202" i="39"/>
  <c r="AE201" i="39"/>
  <c r="AG207" i="39"/>
  <c r="AC201" i="39"/>
  <c r="AB201" i="39"/>
  <c r="AG205" i="39"/>
  <c r="AH208" i="39"/>
  <c r="AI206" i="39"/>
  <c r="AC203" i="39"/>
  <c r="AB202" i="39"/>
  <c r="AD202" i="39"/>
  <c r="AF203" i="39"/>
  <c r="AF206" i="39"/>
  <c r="AH204" i="39"/>
  <c r="AC202" i="39"/>
  <c r="AG204" i="39"/>
  <c r="AG206" i="39"/>
  <c r="AE202" i="39"/>
  <c r="AD204" i="39"/>
  <c r="AI208" i="39"/>
  <c r="AD203" i="39"/>
  <c r="AI207" i="39"/>
  <c r="AH207" i="39"/>
  <c r="AD201" i="39"/>
  <c r="AF205" i="39"/>
  <c r="AE205" i="39"/>
  <c r="AF204" i="39"/>
  <c r="AH212" i="39"/>
  <c r="D41" i="37"/>
  <c r="AB210" i="39"/>
  <c r="Y209" i="39"/>
  <c r="AH214" i="39"/>
  <c r="AE224" i="39"/>
  <c r="Q209" i="39"/>
  <c r="N207" i="39"/>
  <c r="AA213" i="39"/>
  <c r="AF216" i="39"/>
  <c r="AD211" i="39"/>
  <c r="AA214" i="39"/>
  <c r="Q202" i="39"/>
  <c r="AF224" i="39"/>
  <c r="AD215" i="39"/>
  <c r="AF214" i="39"/>
  <c r="AG221" i="39"/>
  <c r="P203" i="39"/>
  <c r="P201" i="39"/>
  <c r="L204" i="39"/>
  <c r="L202" i="39"/>
  <c r="AE220" i="39"/>
  <c r="AA205" i="39"/>
  <c r="Z219" i="39"/>
  <c r="AG222" i="39"/>
  <c r="AB205" i="39"/>
  <c r="AC219" i="39"/>
  <c r="AE216" i="39"/>
  <c r="L206" i="39"/>
  <c r="M205" i="39"/>
  <c r="T205" i="39"/>
  <c r="S207" i="39"/>
  <c r="V212" i="39"/>
  <c r="T214" i="39"/>
  <c r="Y216" i="39"/>
  <c r="R209" i="39"/>
  <c r="Q207" i="39"/>
  <c r="R210" i="39"/>
  <c r="U207" i="39"/>
  <c r="AA207" i="39"/>
  <c r="N201" i="39"/>
  <c r="N202" i="39"/>
  <c r="Z209" i="39"/>
  <c r="AE225" i="39"/>
  <c r="X216" i="39"/>
  <c r="M204" i="39"/>
  <c r="U201" i="39"/>
  <c r="W211" i="39"/>
  <c r="X217" i="39"/>
  <c r="AB218" i="39"/>
  <c r="S208" i="39"/>
  <c r="T208" i="39"/>
  <c r="Z214" i="39"/>
  <c r="W201" i="39"/>
  <c r="AB203" i="39"/>
  <c r="AF207" i="39"/>
  <c r="W217" i="39"/>
  <c r="V203" i="39"/>
  <c r="AA209" i="39"/>
  <c r="AG212" i="39"/>
  <c r="O204" i="39"/>
  <c r="P208" i="39"/>
  <c r="W203" i="39"/>
  <c r="R201" i="39"/>
  <c r="P204" i="39"/>
  <c r="AA218" i="39"/>
  <c r="V214" i="39"/>
  <c r="AF211" i="39"/>
  <c r="Z210" i="39"/>
  <c r="O209" i="39"/>
  <c r="R208" i="39"/>
  <c r="AB222" i="39"/>
  <c r="AH217" i="39"/>
  <c r="Y201" i="39"/>
  <c r="AD209" i="39"/>
  <c r="M202" i="39"/>
  <c r="I203" i="39"/>
  <c r="AI228" i="39"/>
  <c r="S202" i="39"/>
  <c r="AI226" i="39"/>
  <c r="Z217" i="39"/>
  <c r="AB219" i="39"/>
  <c r="AB221" i="39"/>
  <c r="Z202" i="39"/>
  <c r="Z215" i="39"/>
  <c r="N208" i="39"/>
  <c r="X203" i="39"/>
  <c r="AE209" i="39"/>
  <c r="Z204" i="39"/>
  <c r="R202" i="39"/>
  <c r="AH216" i="39"/>
  <c r="S212" i="39"/>
  <c r="AG219" i="39"/>
  <c r="AC213" i="39"/>
  <c r="Y217" i="39"/>
  <c r="AH224" i="39"/>
  <c r="AF212" i="39"/>
  <c r="U202" i="39"/>
  <c r="H202" i="39"/>
  <c r="X211" i="39"/>
  <c r="AH211" i="39"/>
  <c r="AC208" i="39"/>
  <c r="P202" i="39"/>
  <c r="T213" i="39"/>
  <c r="AG211" i="39"/>
  <c r="W206" i="39"/>
  <c r="AH222" i="39"/>
  <c r="Z205" i="39"/>
  <c r="AF219" i="39"/>
  <c r="Z208" i="39"/>
  <c r="W210" i="39"/>
  <c r="AF213" i="39"/>
  <c r="K205" i="39"/>
  <c r="Y213" i="39"/>
  <c r="AC212" i="39"/>
  <c r="V205" i="39"/>
  <c r="O205" i="39"/>
  <c r="AA206" i="39"/>
  <c r="AA202" i="39"/>
  <c r="AB206" i="39"/>
  <c r="AE221" i="39"/>
  <c r="W216" i="39"/>
  <c r="AG225" i="39"/>
  <c r="AC222" i="39"/>
  <c r="S213" i="39"/>
  <c r="AF217" i="39"/>
  <c r="AA210" i="39"/>
  <c r="AG220" i="39"/>
  <c r="N205" i="39"/>
  <c r="O202" i="39"/>
  <c r="O203" i="39"/>
  <c r="Y208" i="39"/>
  <c r="Z206" i="39"/>
  <c r="X204" i="39"/>
  <c r="AB214" i="39"/>
  <c r="W207" i="39"/>
  <c r="AI216" i="39"/>
  <c r="AE212" i="39"/>
  <c r="AD218" i="39"/>
  <c r="Y203" i="39"/>
  <c r="V209" i="39"/>
  <c r="AD214" i="39"/>
  <c r="AG215" i="39"/>
  <c r="S210" i="39"/>
  <c r="AB213" i="39"/>
  <c r="U205" i="39"/>
  <c r="AH209" i="39"/>
  <c r="X201" i="39"/>
  <c r="AF226" i="39"/>
  <c r="S206" i="39"/>
  <c r="AD221" i="39"/>
  <c r="AD213" i="39"/>
  <c r="AB217" i="39"/>
  <c r="AI210" i="39"/>
  <c r="AG208" i="39"/>
  <c r="Y204" i="39"/>
  <c r="AH213" i="39"/>
  <c r="AE218" i="39"/>
  <c r="AH219" i="39"/>
  <c r="U213" i="39"/>
  <c r="R205" i="39"/>
  <c r="AB207" i="39"/>
  <c r="R211" i="39"/>
  <c r="T207" i="39"/>
  <c r="K203" i="39"/>
  <c r="AI212" i="39"/>
  <c r="X209" i="39"/>
  <c r="AI222" i="39"/>
  <c r="AA217" i="39"/>
  <c r="AE213" i="39"/>
  <c r="AE211" i="39"/>
  <c r="Y210" i="39"/>
  <c r="V216" i="39"/>
  <c r="Q204" i="39"/>
  <c r="AA203" i="39"/>
  <c r="U203" i="39"/>
  <c r="AG209" i="39"/>
  <c r="AG210" i="39"/>
  <c r="X205" i="39"/>
  <c r="AE215" i="39"/>
  <c r="AH225" i="39"/>
  <c r="AH220" i="39"/>
  <c r="AC218" i="39"/>
  <c r="M207" i="39"/>
  <c r="U214" i="39"/>
  <c r="AD223" i="39"/>
  <c r="U208" i="39"/>
  <c r="AD216" i="39"/>
  <c r="Q201" i="39"/>
  <c r="AH221" i="39"/>
  <c r="AB204" i="39"/>
  <c r="AB211" i="39"/>
  <c r="W202" i="39"/>
  <c r="AF222" i="39"/>
  <c r="T204" i="39"/>
  <c r="W213" i="39"/>
  <c r="AI225" i="39"/>
  <c r="O201" i="39"/>
  <c r="AE214" i="39"/>
  <c r="AC215" i="39"/>
  <c r="Y205" i="39"/>
  <c r="N203" i="39"/>
  <c r="AI223" i="39"/>
  <c r="AB215" i="39"/>
  <c r="W208" i="39"/>
  <c r="AA219" i="39"/>
  <c r="X218" i="39"/>
  <c r="AH215" i="39"/>
  <c r="X206" i="39"/>
  <c r="Z216" i="39"/>
  <c r="AH228" i="39"/>
  <c r="U215" i="39"/>
  <c r="AI217" i="39"/>
  <c r="K204" i="39"/>
  <c r="AF218" i="39"/>
  <c r="Z201" i="39"/>
  <c r="U204" i="39"/>
  <c r="AC211" i="39"/>
  <c r="R207" i="39"/>
  <c r="AD207" i="39"/>
  <c r="AI211" i="39"/>
  <c r="AG216" i="39"/>
  <c r="AC204" i="39"/>
  <c r="S211" i="39"/>
  <c r="AF210" i="39"/>
  <c r="W209" i="39"/>
  <c r="AA208" i="39"/>
  <c r="AG218" i="39"/>
  <c r="T203" i="39"/>
  <c r="V213" i="39"/>
  <c r="T201" i="39"/>
  <c r="Y207" i="39"/>
  <c r="L203" i="39"/>
  <c r="Q205" i="39"/>
  <c r="J203" i="39"/>
  <c r="V211" i="39"/>
  <c r="X207" i="39"/>
  <c r="AB216" i="39"/>
  <c r="Z212" i="39"/>
  <c r="Z220" i="39"/>
  <c r="L201" i="39"/>
  <c r="P206" i="39"/>
  <c r="AC221" i="39"/>
  <c r="S203" i="39"/>
  <c r="T209" i="39"/>
  <c r="AG224" i="39"/>
  <c r="AC223" i="39"/>
  <c r="Q208" i="39"/>
  <c r="Y206" i="39"/>
  <c r="Q211" i="39"/>
  <c r="AA215" i="39"/>
  <c r="V207" i="39"/>
  <c r="P207" i="39"/>
  <c r="X208" i="39"/>
  <c r="AA212" i="39"/>
  <c r="AC220" i="39"/>
  <c r="AI227" i="39"/>
  <c r="AA204" i="39"/>
  <c r="H201" i="39"/>
  <c r="AE219" i="39"/>
  <c r="U206" i="39"/>
  <c r="AB209" i="39"/>
  <c r="AA211" i="39"/>
  <c r="O207" i="39"/>
  <c r="N206" i="39"/>
  <c r="V208" i="39"/>
  <c r="AD206" i="39"/>
  <c r="AE210" i="39"/>
  <c r="M201" i="39"/>
  <c r="Z203" i="39"/>
  <c r="AE217" i="39"/>
  <c r="AC217" i="39"/>
  <c r="AE223" i="39"/>
  <c r="AB220" i="39"/>
  <c r="Y214" i="39"/>
  <c r="Z207" i="39"/>
  <c r="Y215" i="39"/>
  <c r="AH227" i="39"/>
  <c r="AI219" i="39"/>
  <c r="AD220" i="39"/>
  <c r="W205" i="39"/>
  <c r="AF225" i="39"/>
  <c r="S201" i="39"/>
  <c r="Z211" i="39"/>
  <c r="AE222" i="39"/>
  <c r="X213" i="39"/>
  <c r="AA216" i="39"/>
  <c r="Y212" i="39"/>
  <c r="AC205" i="39"/>
  <c r="K201" i="39"/>
  <c r="X214" i="39"/>
  <c r="R204" i="39"/>
  <c r="AC214" i="39"/>
  <c r="V202" i="39"/>
  <c r="T202" i="39"/>
  <c r="AE208" i="39"/>
  <c r="AA221" i="39"/>
  <c r="AD210" i="39"/>
  <c r="AF215" i="39"/>
  <c r="AC209" i="39"/>
  <c r="AG226" i="39"/>
  <c r="AF220" i="39"/>
  <c r="AB208" i="39"/>
  <c r="AH226" i="39"/>
  <c r="AC206" i="39"/>
  <c r="W212" i="39"/>
  <c r="AD205" i="39"/>
  <c r="W204" i="39"/>
  <c r="Q206" i="39"/>
  <c r="AI220" i="39"/>
  <c r="AD219" i="39"/>
  <c r="AG223" i="39"/>
  <c r="AD208" i="39"/>
  <c r="B200" i="39"/>
  <c r="L205" i="39"/>
  <c r="X215" i="39"/>
  <c r="AD224" i="39"/>
  <c r="Y219" i="39"/>
  <c r="R206" i="39"/>
  <c r="AI213" i="39"/>
  <c r="I201" i="39"/>
  <c r="P209" i="39"/>
  <c r="U209" i="39"/>
  <c r="AC210" i="39"/>
  <c r="P210" i="39"/>
  <c r="V210" i="39"/>
  <c r="AI215" i="39"/>
  <c r="AA220" i="39"/>
  <c r="AI224" i="39"/>
  <c r="AC216" i="39"/>
  <c r="AB212" i="39"/>
  <c r="V215" i="39"/>
  <c r="T212" i="39"/>
  <c r="O206" i="39"/>
  <c r="AG213" i="39"/>
  <c r="O208" i="39"/>
  <c r="AF209" i="39"/>
  <c r="T210" i="39"/>
  <c r="R212" i="39"/>
  <c r="AD222" i="39"/>
  <c r="P205" i="39"/>
  <c r="W215" i="39"/>
  <c r="Q203" i="39"/>
  <c r="S209" i="39"/>
  <c r="Z213" i="39"/>
  <c r="R203" i="39"/>
  <c r="AC207" i="39"/>
  <c r="X202" i="39"/>
  <c r="AG217" i="39"/>
  <c r="W214" i="39"/>
  <c r="V206" i="39"/>
  <c r="J201" i="39"/>
  <c r="AG227" i="39"/>
  <c r="AD217" i="39"/>
  <c r="V204" i="39"/>
  <c r="AE207" i="39"/>
  <c r="Q210" i="39"/>
  <c r="AH210" i="39"/>
  <c r="V201" i="39"/>
  <c r="Y218" i="39"/>
  <c r="T211" i="39"/>
  <c r="J204" i="39"/>
  <c r="AI214" i="39"/>
  <c r="U211" i="39"/>
  <c r="X212" i="39"/>
  <c r="I202" i="39"/>
  <c r="AF208" i="39"/>
  <c r="AE206" i="39"/>
  <c r="M203" i="39"/>
  <c r="AF221" i="39"/>
  <c r="AG214" i="39"/>
  <c r="AD212" i="39"/>
  <c r="AF223" i="39"/>
  <c r="Y202" i="39"/>
  <c r="U210" i="39"/>
  <c r="Z218" i="39"/>
  <c r="U212" i="39"/>
  <c r="D33" i="37"/>
  <c r="H34" i="37"/>
  <c r="E33" i="37"/>
  <c r="S205" i="39"/>
  <c r="S204" i="39"/>
  <c r="M206" i="39"/>
  <c r="K202" i="39"/>
  <c r="J202" i="39"/>
  <c r="AI221" i="39"/>
  <c r="N204" i="39"/>
  <c r="AH223" i="39"/>
  <c r="T206" i="39"/>
  <c r="AI218" i="39"/>
  <c r="AH218" i="39"/>
  <c r="Y211" i="39"/>
  <c r="AI229" i="39"/>
  <c r="D31" i="37"/>
  <c r="E31" i="37"/>
  <c r="A2" i="37" l="1"/>
  <c r="D36" i="49"/>
  <c r="H35" i="37"/>
  <c r="B2" i="37"/>
  <c r="AA200" i="39"/>
  <c r="AA232" i="39" s="1"/>
  <c r="AC200" i="39"/>
  <c r="AC232" i="39" s="1"/>
  <c r="Z200" i="39"/>
  <c r="Z232" i="39" s="1"/>
  <c r="AD200" i="39"/>
  <c r="AD232" i="39" s="1"/>
  <c r="AB200" i="39"/>
  <c r="AB232" i="39" s="1"/>
  <c r="AF232" i="39"/>
  <c r="AI232" i="39"/>
  <c r="AG232" i="39"/>
  <c r="I34" i="37"/>
  <c r="I35" i="37" s="1"/>
  <c r="L200" i="39"/>
  <c r="L232" i="39" s="1"/>
  <c r="U200" i="39"/>
  <c r="U232" i="39" s="1"/>
  <c r="F200" i="39"/>
  <c r="F232" i="39" s="1"/>
  <c r="T200" i="39"/>
  <c r="T232" i="39" s="1"/>
  <c r="V200" i="39"/>
  <c r="V232" i="39" s="1"/>
  <c r="J200" i="39"/>
  <c r="J232" i="39" s="1"/>
  <c r="Q200" i="39"/>
  <c r="Q232" i="39" s="1"/>
  <c r="H200" i="39"/>
  <c r="H232" i="39" s="1"/>
  <c r="X200" i="39"/>
  <c r="X232" i="39" s="1"/>
  <c r="O200" i="39"/>
  <c r="O232" i="39" s="1"/>
  <c r="I200" i="39"/>
  <c r="I232" i="39" s="1"/>
  <c r="K200" i="39"/>
  <c r="K232" i="39" s="1"/>
  <c r="W200" i="39"/>
  <c r="W232" i="39" s="1"/>
  <c r="G200" i="39"/>
  <c r="G232" i="39" s="1"/>
  <c r="Y200" i="39"/>
  <c r="Y232" i="39" s="1"/>
  <c r="R200" i="39"/>
  <c r="R232" i="39" s="1"/>
  <c r="M200" i="39"/>
  <c r="M232" i="39" s="1"/>
  <c r="N200" i="39"/>
  <c r="N232" i="39" s="1"/>
  <c r="P200" i="39"/>
  <c r="P232" i="39" s="1"/>
  <c r="S200" i="39"/>
  <c r="S232" i="39" s="1"/>
  <c r="AH232" i="39"/>
  <c r="AE232" i="39"/>
  <c r="E36" i="49" l="1" a="1"/>
  <c r="E36" i="49" s="1"/>
  <c r="G9" i="48" s="1"/>
  <c r="AD236" i="39"/>
  <c r="AE15" i="37"/>
  <c r="AE16" i="37" s="1"/>
  <c r="AE18" i="37" s="1"/>
  <c r="AG236" i="39"/>
  <c r="AH15" i="37"/>
  <c r="AH16" i="37" s="1"/>
  <c r="AH18" i="37" s="1"/>
  <c r="AI236" i="39"/>
  <c r="AJ15" i="37"/>
  <c r="AJ16" i="37" s="1"/>
  <c r="AJ18" i="37" s="1"/>
  <c r="AF236" i="39"/>
  <c r="AG15" i="37"/>
  <c r="AG16" i="37" s="1"/>
  <c r="AG18" i="37" s="1"/>
  <c r="AH236" i="39"/>
  <c r="AI15" i="37"/>
  <c r="AI16" i="37" s="1"/>
  <c r="AI18" i="37" s="1"/>
  <c r="AC236" i="39"/>
  <c r="AD15" i="37"/>
  <c r="AD16" i="37" s="1"/>
  <c r="AD18" i="37" s="1"/>
  <c r="AE236" i="39"/>
  <c r="AF15" i="37"/>
  <c r="AF16" i="37" s="1"/>
  <c r="AF18" i="37" s="1"/>
  <c r="V236" i="39"/>
  <c r="W15" i="37"/>
  <c r="W16" i="37" s="1"/>
  <c r="W18" i="37" s="1"/>
  <c r="N15" i="37"/>
  <c r="N16" i="37" s="1"/>
  <c r="N18" i="37" s="1"/>
  <c r="M236" i="39"/>
  <c r="V15" i="37"/>
  <c r="V16" i="37" s="1"/>
  <c r="V18" i="37" s="1"/>
  <c r="U236" i="39"/>
  <c r="N236" i="39"/>
  <c r="O15" i="37"/>
  <c r="O16" i="37" s="1"/>
  <c r="O18" i="37" s="1"/>
  <c r="H15" i="37"/>
  <c r="H16" i="37" s="1"/>
  <c r="H18" i="37" s="1"/>
  <c r="G236" i="39"/>
  <c r="F236" i="39"/>
  <c r="F237" i="39" s="1"/>
  <c r="G15" i="37"/>
  <c r="P15" i="37"/>
  <c r="P16" i="37" s="1"/>
  <c r="P18" i="37" s="1"/>
  <c r="O236" i="39"/>
  <c r="Y236" i="39"/>
  <c r="Z15" i="37"/>
  <c r="Z16" i="37" s="1"/>
  <c r="Z18" i="37" s="1"/>
  <c r="P236" i="39"/>
  <c r="Q15" i="37"/>
  <c r="Q16" i="37" s="1"/>
  <c r="Q18" i="37" s="1"/>
  <c r="R236" i="39"/>
  <c r="S15" i="37"/>
  <c r="S16" i="37" s="1"/>
  <c r="S18" i="37" s="1"/>
  <c r="X15" i="37"/>
  <c r="X16" i="37" s="1"/>
  <c r="X18" i="37" s="1"/>
  <c r="W236" i="39"/>
  <c r="L15" i="37"/>
  <c r="L16" i="37" s="1"/>
  <c r="L18" i="37" s="1"/>
  <c r="K236" i="39"/>
  <c r="Y15" i="37"/>
  <c r="Y16" i="37" s="1"/>
  <c r="Y18" i="37" s="1"/>
  <c r="X236" i="39"/>
  <c r="U15" i="37"/>
  <c r="U16" i="37" s="1"/>
  <c r="U18" i="37" s="1"/>
  <c r="T236" i="39"/>
  <c r="L236" i="39"/>
  <c r="M15" i="37"/>
  <c r="M16" i="37" s="1"/>
  <c r="M18" i="37" s="1"/>
  <c r="J34" i="37"/>
  <c r="J35" i="37" s="1"/>
  <c r="J15" i="37"/>
  <c r="J16" i="37" s="1"/>
  <c r="J18" i="37" s="1"/>
  <c r="I236" i="39"/>
  <c r="AA15" i="37"/>
  <c r="AA16" i="37" s="1"/>
  <c r="AA18" i="37" s="1"/>
  <c r="Z236" i="39"/>
  <c r="AB15" i="37"/>
  <c r="AB16" i="37" s="1"/>
  <c r="AB18" i="37" s="1"/>
  <c r="AA236" i="39"/>
  <c r="I15" i="37"/>
  <c r="I16" i="37" s="1"/>
  <c r="I18" i="37" s="1"/>
  <c r="H236" i="39"/>
  <c r="AC15" i="37"/>
  <c r="AC16" i="37" s="1"/>
  <c r="AC18" i="37" s="1"/>
  <c r="AB236" i="39"/>
  <c r="Q236" i="39"/>
  <c r="R15" i="37"/>
  <c r="R16" i="37" s="1"/>
  <c r="R18" i="37" s="1"/>
  <c r="T15" i="37"/>
  <c r="T16" i="37" s="1"/>
  <c r="T18" i="37" s="1"/>
  <c r="S236" i="39"/>
  <c r="K15" i="37"/>
  <c r="K16" i="37" s="1"/>
  <c r="K18" i="37" s="1"/>
  <c r="J236" i="39"/>
  <c r="H9" i="48" l="1"/>
  <c r="H10" i="48" s="1"/>
  <c r="H17" i="48" s="1"/>
  <c r="E15" i="37"/>
  <c r="G16" i="37"/>
  <c r="G234" i="39"/>
  <c r="G237" i="39" s="1"/>
  <c r="G25" i="37"/>
  <c r="G21" i="37" s="1"/>
  <c r="K34" i="37"/>
  <c r="K35" i="37" s="1"/>
  <c r="G26" i="37" l="1"/>
  <c r="L34" i="37"/>
  <c r="L35" i="37" s="1"/>
  <c r="H25" i="37"/>
  <c r="H21" i="37" s="1"/>
  <c r="H234" i="39"/>
  <c r="H237" i="39" s="1"/>
  <c r="G18" i="37"/>
  <c r="E16" i="37"/>
  <c r="I25" i="37" l="1"/>
  <c r="I21" i="37" s="1"/>
  <c r="I234" i="39"/>
  <c r="I237" i="39" s="1"/>
  <c r="D18" i="37"/>
  <c r="E18" i="37"/>
  <c r="H26" i="37"/>
  <c r="M34" i="37"/>
  <c r="M35" i="37" s="1"/>
  <c r="N34" i="37" l="1"/>
  <c r="N35" i="37" s="1"/>
  <c r="D44" i="37"/>
  <c r="J25" i="37"/>
  <c r="J21" i="37" s="1"/>
  <c r="J234" i="39"/>
  <c r="J237" i="39" s="1"/>
  <c r="I26" i="37"/>
  <c r="K25" i="37" l="1"/>
  <c r="K21" i="37" s="1"/>
  <c r="K234" i="39"/>
  <c r="K237" i="39" s="1"/>
  <c r="J26" i="37"/>
  <c r="O34" i="37"/>
  <c r="O35" i="37" s="1"/>
  <c r="P34" i="37" l="1"/>
  <c r="P35" i="37" s="1"/>
  <c r="L234" i="39"/>
  <c r="L237" i="39" s="1"/>
  <c r="L25" i="37"/>
  <c r="L21" i="37" s="1"/>
  <c r="K26" i="37"/>
  <c r="L26" i="37" l="1"/>
  <c r="M25" i="37"/>
  <c r="M21" i="37" s="1"/>
  <c r="M234" i="39"/>
  <c r="M237" i="39" s="1"/>
  <c r="Q34" i="37"/>
  <c r="Q35" i="37" s="1"/>
  <c r="R34" i="37" l="1"/>
  <c r="R35" i="37" s="1"/>
  <c r="N25" i="37"/>
  <c r="N21" i="37" s="1"/>
  <c r="N234" i="39"/>
  <c r="N237" i="39" s="1"/>
  <c r="M26" i="37"/>
  <c r="O234" i="39" l="1"/>
  <c r="O237" i="39" s="1"/>
  <c r="O25" i="37"/>
  <c r="O21" i="37" s="1"/>
  <c r="N26" i="37"/>
  <c r="S34" i="37"/>
  <c r="S35" i="37" s="1"/>
  <c r="T34" i="37" l="1"/>
  <c r="T35" i="37" s="1"/>
  <c r="O26" i="37"/>
  <c r="P234" i="39"/>
  <c r="P237" i="39" s="1"/>
  <c r="P25" i="37"/>
  <c r="P21" i="37" s="1"/>
  <c r="P26" i="37" l="1"/>
  <c r="Q234" i="39"/>
  <c r="Q237" i="39" s="1"/>
  <c r="Q25" i="37"/>
  <c r="Q21" i="37" s="1"/>
  <c r="U34" i="37"/>
  <c r="U35" i="37" s="1"/>
  <c r="V34" i="37" l="1"/>
  <c r="V35" i="37" s="1"/>
  <c r="Q26" i="37"/>
  <c r="R25" i="37"/>
  <c r="R21" i="37" s="1"/>
  <c r="R234" i="39"/>
  <c r="R237" i="39" s="1"/>
  <c r="S234" i="39" l="1"/>
  <c r="S237" i="39" s="1"/>
  <c r="S25" i="37"/>
  <c r="S21" i="37" s="1"/>
  <c r="R26" i="37"/>
  <c r="W34" i="37"/>
  <c r="W35" i="37" s="1"/>
  <c r="X34" i="37" l="1"/>
  <c r="X35" i="37" s="1"/>
  <c r="S26" i="37"/>
  <c r="T25" i="37"/>
  <c r="T21" i="37" s="1"/>
  <c r="T234" i="39"/>
  <c r="T237" i="39" s="1"/>
  <c r="U25" i="37" l="1"/>
  <c r="U21" i="37" s="1"/>
  <c r="U234" i="39"/>
  <c r="U237" i="39" s="1"/>
  <c r="T26" i="37"/>
  <c r="Y34" i="37"/>
  <c r="Y35" i="37" s="1"/>
  <c r="Z34" i="37" l="1"/>
  <c r="Z35" i="37" s="1"/>
  <c r="V25" i="37"/>
  <c r="V21" i="37" s="1"/>
  <c r="V234" i="39"/>
  <c r="V237" i="39" s="1"/>
  <c r="U26" i="37"/>
  <c r="W25" i="37" l="1"/>
  <c r="W21" i="37" s="1"/>
  <c r="W234" i="39"/>
  <c r="W237" i="39" s="1"/>
  <c r="V26" i="37"/>
  <c r="AA34" i="37"/>
  <c r="AA35" i="37" s="1"/>
  <c r="AB34" i="37" l="1"/>
  <c r="AB35" i="37" s="1"/>
  <c r="X234" i="39"/>
  <c r="X237" i="39" s="1"/>
  <c r="X25" i="37"/>
  <c r="X21" i="37" s="1"/>
  <c r="W26" i="37"/>
  <c r="X26" i="37" l="1"/>
  <c r="Y234" i="39"/>
  <c r="Y237" i="39" s="1"/>
  <c r="Y25" i="37"/>
  <c r="Y21" i="37" s="1"/>
  <c r="AC34" i="37"/>
  <c r="AD34" i="37" l="1"/>
  <c r="AD35" i="37" s="1"/>
  <c r="AC35" i="37"/>
  <c r="Y26" i="37"/>
  <c r="Z234" i="39"/>
  <c r="Z237" i="39" s="1"/>
  <c r="Z25" i="37"/>
  <c r="Z21" i="37" s="1"/>
  <c r="AE34" i="37" l="1"/>
  <c r="AE35" i="37" s="1"/>
  <c r="Z26" i="37"/>
  <c r="AA234" i="39"/>
  <c r="AA237" i="39" s="1"/>
  <c r="AA25" i="37"/>
  <c r="AA21" i="37" s="1"/>
  <c r="AF34" i="37" l="1"/>
  <c r="AF35" i="37" s="1"/>
  <c r="AA26" i="37"/>
  <c r="AB25" i="37"/>
  <c r="AB21" i="37" s="1"/>
  <c r="AB26" i="37" s="1"/>
  <c r="AB234" i="39"/>
  <c r="AB237" i="39" s="1"/>
  <c r="AG34" i="37" l="1"/>
  <c r="AG35" i="37" s="1"/>
  <c r="AC234" i="39"/>
  <c r="AC237" i="39" s="1"/>
  <c r="AC25" i="37"/>
  <c r="AC21" i="37" s="1"/>
  <c r="AH34" i="37" l="1"/>
  <c r="AH35" i="37" s="1"/>
  <c r="AD234" i="39"/>
  <c r="AD237" i="39" s="1"/>
  <c r="AD25" i="37"/>
  <c r="AD21" i="37" s="1"/>
  <c r="AD26" i="37" s="1"/>
  <c r="AC26" i="37"/>
  <c r="AI34" i="37" l="1"/>
  <c r="AI35" i="37" s="1"/>
  <c r="AE234" i="39"/>
  <c r="AE237" i="39" s="1"/>
  <c r="AE25" i="37"/>
  <c r="AE21" i="37" s="1"/>
  <c r="AE26" i="37" s="1"/>
  <c r="AJ34" i="37" l="1"/>
  <c r="AJ35" i="37" s="1"/>
  <c r="D46" i="37" s="1"/>
  <c r="AF234" i="39"/>
  <c r="AF237" i="39" s="1"/>
  <c r="AF25" i="37"/>
  <c r="AF21" i="37" s="1"/>
  <c r="AF26" i="37" s="1"/>
  <c r="D45" i="37" l="1"/>
  <c r="AG234" i="39"/>
  <c r="AG237" i="39" s="1"/>
  <c r="AG25" i="37"/>
  <c r="AG21" i="37" s="1"/>
  <c r="AG26" i="37" s="1"/>
  <c r="AH234" i="39" l="1"/>
  <c r="AH237" i="39" s="1"/>
  <c r="AH25" i="37"/>
  <c r="AH21" i="37" s="1"/>
  <c r="AH26" i="37" s="1"/>
  <c r="AI234" i="39" l="1"/>
  <c r="AI237" i="39" s="1"/>
  <c r="AI25" i="37"/>
  <c r="AI21" i="37" s="1"/>
  <c r="AI26" i="37" s="1"/>
  <c r="AJ25" i="37" l="1"/>
  <c r="AJ21" i="37" s="1"/>
  <c r="AJ26"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tc={B961F1CE-AE94-4A13-B707-A10126089CB3}</author>
    <author>tc={7CFDAB30-4895-4EF8-A8D8-E61322AA978E}</author>
    <author>tc={3E155D46-F5E0-48CF-85DA-F3490E18F544}</author>
    <author>tc={2956C9FE-3B9F-455D-860F-3B38BA5BED81}</author>
    <author>tc={9354CD4E-875E-48BB-9F9C-86737473C42C}</author>
    <author>tc={1E131E81-016C-40E2-B14D-119FBD30EF54}</author>
    <author>tc={F7E74664-6AE4-4112-92E3-AF0C1E8DB3B1}</author>
  </authors>
  <commentList>
    <comment ref="F47" authorId="0" shapeId="0" xr:uid="{B961F1CE-AE94-4A13-B707-A10126089CB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BDI = Benefícios e Despesas Indiretas: Despesas indiretas da obra (administração central, canteiro, seguros, garantias, impostos sobre faturamento etc.);
Custos financeiros;
Lucro do construtor</t>
        </r>
      </text>
    </comment>
    <comment ref="L47" authorId="1" shapeId="0" xr:uid="{7CFDAB30-4895-4EF8-A8D8-E61322AA978E}">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Benefícios e Despesas Indiretas: Despesas indiretas da obra (administração central, canteiro, seguros, garantias, impostos sobre faturamento etc.);
Custos financeiros;
Lucro do construtor</t>
        </r>
      </text>
    </comment>
    <comment ref="H100" authorId="2" shapeId="0" xr:uid="{3E155D46-F5E0-48CF-85DA-F3490E18F54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Auditoria contábil: Considerando auditorias mensais, o custo adicional seria de R$ 3.000,00 a R$ 6.000,00.
Consultoria: Considerando 40 horas de consultoria por mês, o custo pode variar entre R$ 2.800,00 e R$ 8.000,00.</t>
        </r>
      </text>
    </comment>
    <comment ref="K102" authorId="3" shapeId="0" xr:uid="{2956C9FE-3B9F-455D-860F-3B38BA5BED81}">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 contribuição sindical corresponde a 1 dia de trabalho por ano (1/30 do salário mensal) para cada funcionário que autorizar o desconto. </t>
        </r>
      </text>
    </comment>
    <comment ref="K110" authorId="4" shapeId="0" xr:uid="{9354CD4E-875E-48BB-9F9C-86737473C42C}">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 contribuição sindical corresponde a 1 dia de trabalho por ano (1/30 do salário mensal) para cada funcionário que autorizar o desconto. </t>
        </r>
      </text>
    </comment>
    <comment ref="K114" authorId="5" shapeId="0" xr:uid="{1E131E81-016C-40E2-B14D-119FBD30EF54}">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 contribuição sindical corresponde a 1 dia de trabalho por ano (1/30 do salário mensal) para cada funcionário que autorizar o desconto. </t>
        </r>
      </text>
    </comment>
    <comment ref="K118" authorId="6" shapeId="0" xr:uid="{F7E74664-6AE4-4112-92E3-AF0C1E8DB3B1}">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 contribuição sindical corresponde a 1 dia de trabalho por ano (1/30 do salário mensal) para cada funcionário que autorizar o desconto.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F9672DA-40EB-4DAB-B7C3-BE513DED3DAD}" keepAlive="1" name="Consulta - Table014 (Page 31)" description="Conexão com a consulta 'Table014 (Page 31)' na pasta de trabalho." type="5" refreshedVersion="8" background="1" saveData="1">
    <dbPr connection="Provider=Microsoft.Mashup.OleDb.1;Data Source=$Workbook$;Location=&quot;Table014 (Page 31)&quot;;Extended Properties=&quot;&quot;" command="SELECT * FROM [Table014 (Page 3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<sst xmlns="http://schemas.openxmlformats.org/spreadsheetml/2006/main" count="1306" uniqueCount="688">
  <si>
    <t>und</t>
  </si>
  <si>
    <t>Total</t>
  </si>
  <si>
    <t>Premissas</t>
  </si>
  <si>
    <t>%</t>
  </si>
  <si>
    <t>L/s</t>
  </si>
  <si>
    <t>m³/ano</t>
  </si>
  <si>
    <t>Ultrafiltração</t>
  </si>
  <si>
    <t>Obras civis</t>
  </si>
  <si>
    <t>R$/m³</t>
  </si>
  <si>
    <t>Energia elétrica</t>
  </si>
  <si>
    <t>Produtos químicos</t>
  </si>
  <si>
    <t xml:space="preserve">Mão de obra </t>
  </si>
  <si>
    <t>PMR</t>
  </si>
  <si>
    <t>dias</t>
  </si>
  <si>
    <t>PMP</t>
  </si>
  <si>
    <t>anos</t>
  </si>
  <si>
    <t>IRPJ+CSLL Lucro Real</t>
  </si>
  <si>
    <t>IRPJ+CSLL Lucro Presumido</t>
  </si>
  <si>
    <t>WACC</t>
  </si>
  <si>
    <t>DRE</t>
  </si>
  <si>
    <t>(+) Receita Bruta</t>
  </si>
  <si>
    <t>kR$</t>
  </si>
  <si>
    <t>(-) Deduções</t>
  </si>
  <si>
    <t>(=) Receita Líquida</t>
  </si>
  <si>
    <t>(-) C&amp;D (ex D&amp;A)</t>
  </si>
  <si>
    <t>(=) EBITDA</t>
  </si>
  <si>
    <t>(-) Depreciação &amp; Amortização</t>
  </si>
  <si>
    <t>(=) EBIT</t>
  </si>
  <si>
    <t>(-) IRPJ/CSLL</t>
  </si>
  <si>
    <t>(=) Lucro Líquido</t>
  </si>
  <si>
    <t>BP (simplificado)</t>
  </si>
  <si>
    <t>Ativo</t>
  </si>
  <si>
    <t>Capital de Giro</t>
  </si>
  <si>
    <t>(+) Contas a Receber</t>
  </si>
  <si>
    <t>(-) Contas a Pagar</t>
  </si>
  <si>
    <t>Imobilizado e Intangível</t>
  </si>
  <si>
    <t>Passivo + PL</t>
  </si>
  <si>
    <t>DFC</t>
  </si>
  <si>
    <t>(+/-) NIG</t>
  </si>
  <si>
    <t>(-) Investimentos</t>
  </si>
  <si>
    <t>VPL</t>
  </si>
  <si>
    <t>TIR</t>
  </si>
  <si>
    <t>% a.a.</t>
  </si>
  <si>
    <t>Mg. EBITDA</t>
  </si>
  <si>
    <t>Mg. Líquida</t>
  </si>
  <si>
    <t>Exp. Máx. Cx</t>
  </si>
  <si>
    <t>Auxiliar</t>
  </si>
  <si>
    <t>Capex</t>
  </si>
  <si>
    <t>Adições</t>
  </si>
  <si>
    <t>Reduções</t>
  </si>
  <si>
    <t>PGEA0623-D.pdf</t>
  </si>
  <si>
    <t>Membranas</t>
  </si>
  <si>
    <t>Tipo</t>
  </si>
  <si>
    <t>vazão (l/s)</t>
  </si>
  <si>
    <t>Capex (R$)</t>
  </si>
  <si>
    <t>Fonte</t>
  </si>
  <si>
    <t>Comentários</t>
  </si>
  <si>
    <t>AVALIAÇÃO COMPARATIVA ATRAVÉS
DOS CUSTOS DIRETOS DE IMPLANTAÇÃO E OPERAÇÃO
COM OS SISTEMAS CONVENCIONAL E CONVENCIONAL
COM CARVÃO ATIVADO</t>
  </si>
  <si>
    <t>MBR</t>
  </si>
  <si>
    <t>AVALIAÇÃO ECONÔMICA DE UM BIORREATOR A 
MEMBRANA APLICADO AO TRATAMENTO DE ESGOTOS 
SANITÁRIOS VISANDO O REÚSO DE ÁGUAS</t>
  </si>
  <si>
    <t>R$ 1681,53/m³/d</t>
  </si>
  <si>
    <t>Fator conversão</t>
  </si>
  <si>
    <t>1 MGD=43,82 L/S</t>
  </si>
  <si>
    <t>Data-base</t>
  </si>
  <si>
    <t>incluso: bombas, instrumentação, montagem</t>
  </si>
  <si>
    <t>Microfiltração/Ultrafiltração</t>
  </si>
  <si>
    <t>US$ 1300-5300/m³/d</t>
  </si>
  <si>
    <t>US$ 600/m³/d</t>
  </si>
  <si>
    <t>1 dol = 1,8 reais</t>
  </si>
  <si>
    <t>skid-mounted membrane modules
that included prefilters (about 200 micron), associated piping, feed pumps, backwash and recirculation
pumps (where appropriate), chemical cleaning feed tanks and pumps</t>
  </si>
  <si>
    <t>1dol = 2,3 reais</t>
  </si>
  <si>
    <t>Capex ajustado (R$) - 2025</t>
  </si>
  <si>
    <t>Cost Water, 2010</t>
  </si>
  <si>
    <t>Cheryan &amp; Rajagopalan</t>
  </si>
  <si>
    <t>Equipamentos mecânicos</t>
  </si>
  <si>
    <t>OR</t>
  </si>
  <si>
    <t>EPA 2005</t>
  </si>
  <si>
    <t>https://www.oas.org/dsd/publications/unit/oea59e/ch20.htm?utm_source=chatgpt.com</t>
  </si>
  <si>
    <t>Capex - custos totais</t>
  </si>
  <si>
    <t>1454 - 4483</t>
  </si>
  <si>
    <t>US$/m³/d</t>
  </si>
  <si>
    <t>Unidade</t>
  </si>
  <si>
    <t>valor</t>
  </si>
  <si>
    <t>pumps + piping</t>
  </si>
  <si>
    <t>capital cost multiplier = 2</t>
  </si>
  <si>
    <t>instruments not included in membrane skid</t>
  </si>
  <si>
    <t>membranas+ instrumentação+montagem</t>
  </si>
  <si>
    <t>Equipamentos elétricos e de instrumentação</t>
  </si>
  <si>
    <t>Estudo CNI- adaptado da planilha Capex</t>
  </si>
  <si>
    <t>** para a soma de EPA 2005, multiplicar por 1,67 (capital cost multiplier)</t>
  </si>
  <si>
    <t>Mão de obra</t>
  </si>
  <si>
    <t>Custo com energia</t>
  </si>
  <si>
    <t>Reposição de membranas</t>
  </si>
  <si>
    <t>Custo de disposição de efluentes</t>
  </si>
  <si>
    <t>0,4 euro/m³</t>
  </si>
  <si>
    <t>Opex anual (R$)</t>
  </si>
  <si>
    <t>1 euro = 3 reais</t>
  </si>
  <si>
    <t>Manutenção e despesas gerais</t>
  </si>
  <si>
    <t>Reuso industrial - Capex e Opex</t>
  </si>
  <si>
    <t>Água de Reuso e San. Industrial - Sanepar</t>
  </si>
  <si>
    <t>Ano 0</t>
  </si>
  <si>
    <t>Ano 1</t>
  </si>
  <si>
    <t>Ano 2</t>
  </si>
  <si>
    <t>Ano 3</t>
  </si>
  <si>
    <t>Ano 4</t>
  </si>
  <si>
    <t>Ano 5</t>
  </si>
  <si>
    <t>Ano 6</t>
  </si>
  <si>
    <t>Ano 7</t>
  </si>
  <si>
    <t>Ano 8</t>
  </si>
  <si>
    <t>Ano 9</t>
  </si>
  <si>
    <t>Ano 10</t>
  </si>
  <si>
    <t>Ano 11</t>
  </si>
  <si>
    <t>Ano 12</t>
  </si>
  <si>
    <t>Ano 13</t>
  </si>
  <si>
    <t>Ano 14</t>
  </si>
  <si>
    <t>Ano 15</t>
  </si>
  <si>
    <t>Ano 16</t>
  </si>
  <si>
    <t>Ano 17</t>
  </si>
  <si>
    <t>Ano 18</t>
  </si>
  <si>
    <t>Ano 19</t>
  </si>
  <si>
    <t>Ano 20</t>
  </si>
  <si>
    <t>Ano 21</t>
  </si>
  <si>
    <t>Ano 22</t>
  </si>
  <si>
    <t>Ano 23</t>
  </si>
  <si>
    <t>Perpetuidade</t>
  </si>
  <si>
    <t>Premissas Gerais</t>
  </si>
  <si>
    <t>Modicidade Tarifária - Compartilhamento</t>
  </si>
  <si>
    <t>Participação Societária</t>
  </si>
  <si>
    <t>%Sanepar</t>
  </si>
  <si>
    <t>Regime de tributação</t>
  </si>
  <si>
    <t>Presumido</t>
  </si>
  <si>
    <t>kR$/ano</t>
  </si>
  <si>
    <t>Premissas Financeiras:</t>
  </si>
  <si>
    <t>ISS</t>
  </si>
  <si>
    <t>PIS/Cofins Real</t>
  </si>
  <si>
    <t>(=) FCFF</t>
  </si>
  <si>
    <t>FCFF Acumulado</t>
  </si>
  <si>
    <t>FCFF Sanepar</t>
  </si>
  <si>
    <t>Payback Simples</t>
  </si>
  <si>
    <t>#</t>
  </si>
  <si>
    <t>Indicadores - SPE</t>
  </si>
  <si>
    <t>Energia</t>
  </si>
  <si>
    <t>Capex total</t>
  </si>
  <si>
    <t>Capex ajustado (R$)/(l/s) - 2025</t>
  </si>
  <si>
    <t>Opex anual (R$/m³)</t>
  </si>
  <si>
    <t>Produto 1</t>
  </si>
  <si>
    <t>Produto 2</t>
  </si>
  <si>
    <t>IBGE - Índice Nacional de Preços ao Consumidor Amplo</t>
  </si>
  <si>
    <t>IPCA</t>
  </si>
  <si>
    <t>Projeção IPCA</t>
  </si>
  <si>
    <t>IPCA (%)</t>
  </si>
  <si>
    <t>índice dez/2024 = 1,00</t>
  </si>
  <si>
    <t>Transporte</t>
  </si>
  <si>
    <t>R$/m</t>
  </si>
  <si>
    <t xml:space="preserve">custo Metro BDI </t>
  </si>
  <si>
    <t>km/offtaker</t>
  </si>
  <si>
    <t>km</t>
  </si>
  <si>
    <t>Adicionais</t>
  </si>
  <si>
    <t>Adicional Insalubridade</t>
  </si>
  <si>
    <t>50% com insalubridade máxima (40%) e 50% com insalubridade média (20%)</t>
  </si>
  <si>
    <t>Adicional Noturno</t>
  </si>
  <si>
    <t>20% considerando que a hora noturna tem 52 min conforme CLT</t>
  </si>
  <si>
    <t>Hora Extra</t>
  </si>
  <si>
    <t>1,0 hora extra por dia</t>
  </si>
  <si>
    <t>Provisões</t>
  </si>
  <si>
    <t>Provisão 1/3 Férias</t>
  </si>
  <si>
    <t>Não considera que o funcionário será reposto no seu mês de férias</t>
  </si>
  <si>
    <t>Provisão 13º</t>
  </si>
  <si>
    <t>Provisão Aviso Prévio</t>
  </si>
  <si>
    <t>1 salário. Turnover a cada 5 anos</t>
  </si>
  <si>
    <t>Multa FGTS (40%+10%)</t>
  </si>
  <si>
    <t>Encargos</t>
  </si>
  <si>
    <t>INSS</t>
  </si>
  <si>
    <t>FGTS</t>
  </si>
  <si>
    <t>Sistema S</t>
  </si>
  <si>
    <t>Benefícios</t>
  </si>
  <si>
    <t>Alimentação</t>
  </si>
  <si>
    <t>30 reais por dia útil.</t>
  </si>
  <si>
    <t>300 reais por mês para todos os funcionários.</t>
  </si>
  <si>
    <t>Plano de Sáude</t>
  </si>
  <si>
    <t>Auxílio Creche</t>
  </si>
  <si>
    <t>Seguro de Vida</t>
  </si>
  <si>
    <t>Plano de Previdência</t>
  </si>
  <si>
    <t>PLR anual (% do salário)</t>
  </si>
  <si>
    <t>Custo Total</t>
  </si>
  <si>
    <t>Cargo</t>
  </si>
  <si>
    <t>Qntd</t>
  </si>
  <si>
    <t>Insalubridade?</t>
  </si>
  <si>
    <t>A. Noturno?</t>
  </si>
  <si>
    <t>HE?</t>
  </si>
  <si>
    <t>PLR</t>
  </si>
  <si>
    <t>Salário</t>
  </si>
  <si>
    <t>A. Insalubridade</t>
  </si>
  <si>
    <t>A. Noturno</t>
  </si>
  <si>
    <t>Adicionais Total</t>
  </si>
  <si>
    <t>Salário + Adicionais</t>
  </si>
  <si>
    <t>13º salário</t>
  </si>
  <si>
    <t>1/3 Adional Férias</t>
  </si>
  <si>
    <t>Aviso Prévio</t>
  </si>
  <si>
    <t>Multa FGTS</t>
  </si>
  <si>
    <t>Provisões Total</t>
  </si>
  <si>
    <t>Demais Encargos</t>
  </si>
  <si>
    <t>Encargos Total</t>
  </si>
  <si>
    <t>Saúde</t>
  </si>
  <si>
    <t>Previdência</t>
  </si>
  <si>
    <t>Creche</t>
  </si>
  <si>
    <t>Benefícios Total</t>
  </si>
  <si>
    <t>Custo Unitário</t>
  </si>
  <si>
    <t>Custo / Salário</t>
  </si>
  <si>
    <t>Mensal</t>
  </si>
  <si>
    <t>Anual</t>
  </si>
  <si>
    <t>Coordenadoria</t>
  </si>
  <si>
    <t>Direto ou Indireto</t>
  </si>
  <si>
    <t>Custo</t>
  </si>
  <si>
    <t>Gerente Geral</t>
  </si>
  <si>
    <t>Coordenador Adm Fin</t>
  </si>
  <si>
    <t>Coordenador de Operações</t>
  </si>
  <si>
    <t>TOTAL</t>
  </si>
  <si>
    <t>m³</t>
  </si>
  <si>
    <t>OPEX</t>
  </si>
  <si>
    <t>Opex ETAR</t>
  </si>
  <si>
    <t>CAPEX</t>
  </si>
  <si>
    <t>Capex ETAR</t>
  </si>
  <si>
    <t>Reuso industrial - Capex e Opex ETAR</t>
  </si>
  <si>
    <t>Tanque reservação água</t>
  </si>
  <si>
    <t>SEGUROS (10%)</t>
  </si>
  <si>
    <t>ENGENHARIA EPCM (5%)</t>
  </si>
  <si>
    <t>CONTINGÊNCIAS (10%)</t>
  </si>
  <si>
    <t>ITEM</t>
  </si>
  <si>
    <t>DISCRIMINAÇÃO</t>
  </si>
  <si>
    <t>QTDE.</t>
  </si>
  <si>
    <t>VALOR SUB-ÍTEM R$/ANO</t>
  </si>
  <si>
    <t>MATERIAL</t>
  </si>
  <si>
    <t>VIDA ÚTIL (ANOS)</t>
  </si>
  <si>
    <t>HORAS PROGRAMADAS (semana)</t>
  </si>
  <si>
    <t xml:space="preserve"> KM (semana)</t>
  </si>
  <si>
    <t>FATOR 1</t>
  </si>
  <si>
    <t>FATOR 2</t>
  </si>
  <si>
    <t>VALOR ÍTEM 
R$/ANO</t>
  </si>
  <si>
    <t>DESPESAS G&amp;A</t>
  </si>
  <si>
    <t>Gerais</t>
  </si>
  <si>
    <t>Internet e Energia Elétrica</t>
  </si>
  <si>
    <t>Água</t>
  </si>
  <si>
    <t>Auditoria, Consultoria e Honorários</t>
  </si>
  <si>
    <t>Vendas e Marketing</t>
  </si>
  <si>
    <t>Contribuição Sindical</t>
  </si>
  <si>
    <t>Treinamentos e capacitação</t>
  </si>
  <si>
    <t>Remuneração do Conselheiro Independente</t>
  </si>
  <si>
    <t>ETAR</t>
  </si>
  <si>
    <t>Operadores ETAR</t>
  </si>
  <si>
    <t>Organograma</t>
  </si>
  <si>
    <t>---&gt; TECNOLOGIA</t>
  </si>
  <si>
    <t>----&gt; REDE</t>
  </si>
  <si>
    <t xml:space="preserve"> ----&gt; TECNOLOGIA</t>
  </si>
  <si>
    <t>R$/ano</t>
  </si>
  <si>
    <t>Obras Civis</t>
  </si>
  <si>
    <t>Equipamentos Mecânicos</t>
  </si>
  <si>
    <t>Equipamentos Elétricos E Instrumentação</t>
  </si>
  <si>
    <t>Despesas Pré-Operacionais</t>
  </si>
  <si>
    <t>Transporte água</t>
  </si>
  <si>
    <t>Pagamento água Sanepar</t>
  </si>
  <si>
    <t>Custo variável</t>
  </si>
  <si>
    <t>Margem contribuição</t>
  </si>
  <si>
    <t>Preço bruto água</t>
  </si>
  <si>
    <t>Preço liquido</t>
  </si>
  <si>
    <t>Rede P1 - adução + dist</t>
  </si>
  <si>
    <t>IRPJ CSLL</t>
  </si>
  <si>
    <t>ROA</t>
  </si>
  <si>
    <t>Peak flow (m3/s)</t>
  </si>
  <si>
    <t xml:space="preserve">Material </t>
  </si>
  <si>
    <t>Calculated diameter (mm)</t>
  </si>
  <si>
    <t>Nominal diameter adopted (mm)</t>
  </si>
  <si>
    <t>External diameter adopted (mm)</t>
  </si>
  <si>
    <t>PVC</t>
  </si>
  <si>
    <t>Peak flow (L/s)</t>
  </si>
  <si>
    <t>m³/mês</t>
  </si>
  <si>
    <t># offtakers</t>
  </si>
  <si>
    <t>Opex (R$/m³)</t>
  </si>
  <si>
    <t>Capex (MM R$/L/s)</t>
  </si>
  <si>
    <t>Capex MM R$</t>
  </si>
  <si>
    <t>data base</t>
  </si>
  <si>
    <t>Opex inflacionado (R$/m³)</t>
  </si>
  <si>
    <t>Capex inflacionado (MM R$)</t>
  </si>
  <si>
    <t>Bench</t>
  </si>
  <si>
    <t>Média</t>
  </si>
  <si>
    <t>Mediana</t>
  </si>
  <si>
    <t>Deduções</t>
  </si>
  <si>
    <t>Pseudo lucro líquido</t>
  </si>
  <si>
    <t>comparativo CESAN</t>
  </si>
  <si>
    <t>consumo médio/player (m³/mês)</t>
  </si>
  <si>
    <t>Equipamentos Elétricos e Instrumentação</t>
  </si>
  <si>
    <t>Vazao ETAR</t>
  </si>
  <si>
    <t>Vol agua/caminhão</t>
  </si>
  <si>
    <t>distancia por viagem</t>
  </si>
  <si>
    <t># viagens/mês</t>
  </si>
  <si>
    <t>R$/tkm</t>
  </si>
  <si>
    <t>Tonelada-quilômetro por viagem</t>
  </si>
  <si>
    <t>Demanda mensal tkm</t>
  </si>
  <si>
    <t>custo mensal</t>
  </si>
  <si>
    <t>custo por m³</t>
  </si>
  <si>
    <t>Premissas piping e transporte</t>
  </si>
  <si>
    <t>Maximum speed  (m/s)</t>
  </si>
  <si>
    <t>Piping</t>
  </si>
  <si>
    <t>custo transporte</t>
  </si>
  <si>
    <t>Bench 1</t>
  </si>
  <si>
    <t>Bench 2</t>
  </si>
  <si>
    <t>https://cebds.org/wp-content/uploads/2023/06/CEBDS_CTAgua_EstudoAguadeReuso_26082022.pdf</t>
  </si>
  <si>
    <t>média</t>
  </si>
  <si>
    <t>mediana</t>
  </si>
  <si>
    <t>Bench 3</t>
  </si>
  <si>
    <t>Bench 4</t>
  </si>
  <si>
    <t>Bench 5</t>
  </si>
  <si>
    <t>Bench 6</t>
  </si>
  <si>
    <t>Bench 7</t>
  </si>
  <si>
    <t>Bench 8</t>
  </si>
  <si>
    <t>Bench 9</t>
  </si>
  <si>
    <t>Bench 10</t>
  </si>
  <si>
    <t>Bench 11</t>
  </si>
  <si>
    <t>consumo médio água reuso/player (m³/mês)</t>
  </si>
  <si>
    <t>Transp. local de água c/ cam. tanque rodov. pav. (Paraná - SICRO 2025)</t>
  </si>
  <si>
    <t>PREÇO UNITÁRIO</t>
  </si>
  <si>
    <t>ETE Atuba Sul</t>
  </si>
  <si>
    <t>ETE Verde</t>
  </si>
  <si>
    <t>Flag</t>
  </si>
  <si>
    <t>Entrada em Operação</t>
  </si>
  <si>
    <t>Vazão média da ETE (L/s)</t>
  </si>
  <si>
    <t>Opex</t>
  </si>
  <si>
    <t>Modelo Econômico-Financeiro - Reúso e San. Industrial</t>
  </si>
  <si>
    <t>Adução</t>
  </si>
  <si>
    <t>kR$ / (L/s)</t>
  </si>
  <si>
    <t>Seguros</t>
  </si>
  <si>
    <t>Engenharia EPCM</t>
  </si>
  <si>
    <t>Contingências</t>
  </si>
  <si>
    <t>Opex - ETAR</t>
  </si>
  <si>
    <t>Mão-de-obra</t>
  </si>
  <si>
    <t>Energia Elétrica</t>
  </si>
  <si>
    <t>Premissa</t>
  </si>
  <si>
    <t>Gerais e Administrativas - Fixo</t>
  </si>
  <si>
    <t>Serviço 1</t>
  </si>
  <si>
    <t>Serviço 2</t>
  </si>
  <si>
    <t>Capex - Serviço 1</t>
  </si>
  <si>
    <t>Opex - Serviço 1</t>
  </si>
  <si>
    <t>Opex - Serviço 2</t>
  </si>
  <si>
    <t>(+) Serviço 1</t>
  </si>
  <si>
    <t>(+) Serviço 2</t>
  </si>
  <si>
    <t>Ramp-Up</t>
  </si>
  <si>
    <t>Comprimento - Variável por Offtaker</t>
  </si>
  <si>
    <t>Quilometragem</t>
  </si>
  <si>
    <t>R$/m³.km</t>
  </si>
  <si>
    <t>km/cliente</t>
  </si>
  <si>
    <t>Capacidade do caminhão</t>
  </si>
  <si>
    <t>t/caminhão</t>
  </si>
  <si>
    <t>tkm</t>
  </si>
  <si>
    <t>Distribuição</t>
  </si>
  <si>
    <t>SPE</t>
  </si>
  <si>
    <t>FCFF Parceiro</t>
  </si>
  <si>
    <t>Capex rede - ABCON - PEAD - PR - pavimentação asfáltica</t>
  </si>
  <si>
    <t>DN</t>
  </si>
  <si>
    <t xml:space="preserve">Capex rede - ABCON - PEAD - PR - sem pavimentação </t>
  </si>
  <si>
    <t>ETE</t>
  </si>
  <si>
    <t>Maximum speed (m/s)</t>
  </si>
  <si>
    <t>Capex para DN Adução ETE (R$/m)</t>
  </si>
  <si>
    <t>ETE Cafezal</t>
  </si>
  <si>
    <t>ETE CIC-Xisto</t>
  </si>
  <si>
    <t>ETE Rio Toledo</t>
  </si>
  <si>
    <t>PEAD</t>
  </si>
  <si>
    <t>Em R$ mil e %</t>
  </si>
  <si>
    <t>Início da Construção</t>
  </si>
  <si>
    <t>Tempo implantação (anos)</t>
  </si>
  <si>
    <t>Market</t>
  </si>
  <si>
    <t>Resultados por ETAR - Com contingência</t>
  </si>
  <si>
    <t xml:space="preserve"> m³/mês</t>
  </si>
  <si>
    <t>Premissas Gerais e Financeiras</t>
  </si>
  <si>
    <t>Início de Obras</t>
  </si>
  <si>
    <t>ano</t>
  </si>
  <si>
    <t>Término de Operação</t>
  </si>
  <si>
    <t>Premissas Comerciais</t>
  </si>
  <si>
    <t>Vazão Média Contratada</t>
  </si>
  <si>
    <t>Tarifa</t>
  </si>
  <si>
    <t>Conta Mensal</t>
  </si>
  <si>
    <t>kBRL/mês</t>
  </si>
  <si>
    <t>Total de Clientes (maturidade)</t>
  </si>
  <si>
    <t>Capex S.</t>
  </si>
  <si>
    <t>% capex</t>
  </si>
  <si>
    <t>Cálculos</t>
  </si>
  <si>
    <t>ROB Total (S1+S2)</t>
  </si>
  <si>
    <t>Implantação</t>
  </si>
  <si>
    <t>Operação</t>
  </si>
  <si>
    <t>ETEs ativas</t>
  </si>
  <si>
    <t>Tempo de implantação</t>
  </si>
  <si>
    <t>Maturidade Comercial Serviço 1</t>
  </si>
  <si>
    <t>Maturidade Comercial Serviço 2</t>
  </si>
  <si>
    <t>Serviços ativos</t>
  </si>
  <si>
    <t>Capex Opex</t>
  </si>
  <si>
    <t>Premissas Temporais</t>
  </si>
  <si>
    <t xml:space="preserve">Solução 1 </t>
  </si>
  <si>
    <t>S1 Vazão média por cliente</t>
  </si>
  <si>
    <t>S1 % de Água para utilidades</t>
  </si>
  <si>
    <t>Solução 2</t>
  </si>
  <si>
    <t>S2 Vazão média por cliente</t>
  </si>
  <si>
    <t>S2 % de Água para utilidades</t>
  </si>
  <si>
    <t>S1 Vazão média por cliente contratada</t>
  </si>
  <si>
    <t>S1 Mercado endereçável (maturidade)</t>
  </si>
  <si>
    <t>S2 Vazão média por cliente contratada</t>
  </si>
  <si>
    <t>Tarifas</t>
  </si>
  <si>
    <t xml:space="preserve">Tarifa Serviço 1 </t>
  </si>
  <si>
    <t xml:space="preserve">Tarifa Serviço 2 </t>
  </si>
  <si>
    <t>S2 Mercado endereçável (maturidade)</t>
  </si>
  <si>
    <t>n° clientes</t>
  </si>
  <si>
    <t>Cliente-Tipo - S1</t>
  </si>
  <si>
    <t>Cliente-Tipo - S2</t>
  </si>
  <si>
    <t>Ramp up comercial - S1</t>
  </si>
  <si>
    <t>Ramp up comercial - S2</t>
  </si>
  <si>
    <t>S2 - Volume</t>
  </si>
  <si>
    <t>S1 Mercado potencial (maturidade)</t>
  </si>
  <si>
    <t>S2 Mercado potencial (maturidade)</t>
  </si>
  <si>
    <t xml:space="preserve">S1 Mkt share </t>
  </si>
  <si>
    <t>S2 Mkt share</t>
  </si>
  <si>
    <t>Ramp-up comercial S1</t>
  </si>
  <si>
    <t>Ramp-up comercial S2</t>
  </si>
  <si>
    <t>Capex unitário ETAR</t>
  </si>
  <si>
    <t>Comprimento adução</t>
  </si>
  <si>
    <t>Tributos indiretos</t>
  </si>
  <si>
    <t>PIS/Cofins Presumido</t>
  </si>
  <si>
    <t>Ativo - BoP</t>
  </si>
  <si>
    <t>Ativo - EoP</t>
  </si>
  <si>
    <t>ETAR Atuba Sul</t>
  </si>
  <si>
    <t>ETAR Cafezal</t>
  </si>
  <si>
    <t>ETAR CIC-Xisto</t>
  </si>
  <si>
    <t>ETAR Rio Toledo</t>
  </si>
  <si>
    <t>ETAR Verde</t>
  </si>
  <si>
    <t>Vazão média (L/s)</t>
  </si>
  <si>
    <t>Vazão máxima (L/s)</t>
  </si>
  <si>
    <t>Vazão média ETAR (L/s)</t>
  </si>
  <si>
    <t>Vazão máxima ETAR (L/s)</t>
  </si>
  <si>
    <t>Ano 24</t>
  </si>
  <si>
    <t>Ano 25</t>
  </si>
  <si>
    <t>Ano 26</t>
  </si>
  <si>
    <t>Ano 27</t>
  </si>
  <si>
    <t>Ano 28</t>
  </si>
  <si>
    <t>Ano 29</t>
  </si>
  <si>
    <t>Ano 30</t>
  </si>
  <si>
    <t>Opex fixo ETAR</t>
  </si>
  <si>
    <t>Opex S1 fixo</t>
  </si>
  <si>
    <t>Opex S1 unitário</t>
  </si>
  <si>
    <t>Opex S2 fixo</t>
  </si>
  <si>
    <t>Opex S2 transporte</t>
  </si>
  <si>
    <t>kR$/m³</t>
  </si>
  <si>
    <t>Opex S1</t>
  </si>
  <si>
    <t>Opex S2</t>
  </si>
  <si>
    <t>Eficiência no tratamento</t>
  </si>
  <si>
    <t>Margem EBITDA</t>
  </si>
  <si>
    <t>Opex unitário ETAR</t>
  </si>
  <si>
    <t>Holding SPE</t>
  </si>
  <si>
    <t>Supervisor QSSMA</t>
  </si>
  <si>
    <t>Analista Adm-Fin</t>
  </si>
  <si>
    <t>Encarregado de Operação</t>
  </si>
  <si>
    <t>Auxiliares Operação ETAR</t>
  </si>
  <si>
    <t>Solução 1</t>
  </si>
  <si>
    <t>Auxiliar Distribuição</t>
  </si>
  <si>
    <t>Encarregado Distribuição</t>
  </si>
  <si>
    <t>DESPESAS GERAIS E ADMINISTRATIVAS</t>
  </si>
  <si>
    <t>Opex Holding SPE</t>
  </si>
  <si>
    <t>Operação Holding SPE</t>
  </si>
  <si>
    <t>C&amp;D Total (Holding + ETAR+S1+S2)</t>
  </si>
  <si>
    <t>Opex - Gestão Central SPE</t>
  </si>
  <si>
    <t>Opex fixo Gestão Central SPE</t>
  </si>
  <si>
    <t>GS INIMA</t>
  </si>
  <si>
    <t>Tipo de tratamento</t>
  </si>
  <si>
    <t>MBR  + OR + Desinfecção</t>
  </si>
  <si>
    <t>VAZÃO
MÉDIA
(L/s)</t>
  </si>
  <si>
    <t>VAZÃO
MÁXIMA
(L/s)</t>
  </si>
  <si>
    <t>VOLUME DE
VENDAS
m³</t>
  </si>
  <si>
    <t>CAPEX
R$</t>
  </si>
  <si>
    <t>REINVESTIMENTO
R$</t>
  </si>
  <si>
    <t>ENERGIA
R$/m³</t>
  </si>
  <si>
    <t>QUÍMICOS
R$/m³</t>
  </si>
  <si>
    <t>RESÍDUOS
R$/m³</t>
  </si>
  <si>
    <t>MÃO DE
OBRA
R$/m³</t>
  </si>
  <si>
    <t>24.293.232</t>
  </si>
  <si>
    <t>86.937.041</t>
  </si>
  <si>
    <t>15.899.632</t>
  </si>
  <si>
    <t>47.030.688</t>
  </si>
  <si>
    <t>133.928.311</t>
  </si>
  <si>
    <t>25.910.512</t>
  </si>
  <si>
    <t>72.890.208</t>
  </si>
  <si>
    <t>155.444.872</t>
  </si>
  <si>
    <t>36.018.940</t>
  </si>
  <si>
    <t>118.344.096</t>
  </si>
  <si>
    <t>199.112.365</t>
  </si>
  <si>
    <t>49.553.649</t>
  </si>
  <si>
    <t>152.045.568</t>
  </si>
  <si>
    <t>227.520.760</t>
  </si>
  <si>
    <t>57.966.752</t>
  </si>
  <si>
    <t>Filtros areia + filtros discos + UF + OR</t>
  </si>
  <si>
    <t>Projeto 1</t>
  </si>
  <si>
    <t>Projeto 2</t>
  </si>
  <si>
    <t>Equipamentos + acessórios</t>
  </si>
  <si>
    <t>instrumentação + valvulas automaticas</t>
  </si>
  <si>
    <t>materiais hidraulicos</t>
  </si>
  <si>
    <t>materiais elétricos</t>
  </si>
  <si>
    <t>fabricação</t>
  </si>
  <si>
    <t>Engenharia, montagem, startup e comissionamento</t>
  </si>
  <si>
    <t>Capex kR$ / (L/s)</t>
  </si>
  <si>
    <t>Premissas A&amp;M</t>
  </si>
  <si>
    <t>vazão média (L/s)</t>
  </si>
  <si>
    <t>Capex total (R$) - com rede</t>
  </si>
  <si>
    <t>Capex unitário ETAR (sem rede)</t>
  </si>
  <si>
    <t>Capex (R$) - sem rede</t>
  </si>
  <si>
    <t>LL</t>
  </si>
  <si>
    <t xml:space="preserve">LL </t>
  </si>
  <si>
    <t>Capex unitário (R$/m³)</t>
  </si>
  <si>
    <t>Capex para ROA (R$)</t>
  </si>
  <si>
    <t>Capex unitário (kR$ / (L/s))</t>
  </si>
  <si>
    <t>Capex unitário sem rede (kR$ / (L/s))</t>
  </si>
  <si>
    <t>Projeto</t>
  </si>
  <si>
    <t>vazão</t>
  </si>
  <si>
    <t>data-base</t>
  </si>
  <si>
    <t>Capex ajustado</t>
  </si>
  <si>
    <t>Cesan - subconcessão</t>
  </si>
  <si>
    <t>Aquapolo - SPE</t>
  </si>
  <si>
    <t>Comparativo com benchmark</t>
  </si>
  <si>
    <t>BIOTECS</t>
  </si>
  <si>
    <t>Vazão mínima da ETE (L/s)</t>
  </si>
  <si>
    <t>Vazão máxima da ETE (L/s)</t>
  </si>
  <si>
    <t>Check - Capacidade da ETE (vazão média)</t>
  </si>
  <si>
    <t>Check - Capacidade da ETE (vazão mínima)</t>
  </si>
  <si>
    <t>custo Metro BDI - com contingencia</t>
  </si>
  <si>
    <t>custo Metro BDI</t>
  </si>
  <si>
    <t>TECG</t>
  </si>
  <si>
    <t>Solução premium: MBR + Nanofiltração</t>
  </si>
  <si>
    <t>Equipamentos</t>
  </si>
  <si>
    <t>Montagem e instalação</t>
  </si>
  <si>
    <t>Receita S1</t>
  </si>
  <si>
    <t>Receita S2</t>
  </si>
  <si>
    <t>% de Compartilhamento - Modicidade Tarifária</t>
  </si>
  <si>
    <t xml:space="preserve"> </t>
  </si>
  <si>
    <t>Instruções</t>
  </si>
  <si>
    <t>Conteúdo</t>
  </si>
  <si>
    <t>Modelo Financeiro</t>
  </si>
  <si>
    <t>Significado</t>
  </si>
  <si>
    <t>Input</t>
  </si>
  <si>
    <t>Modelo Econômico-Financeiro da SPE de Reuso e Saneamento Industrial</t>
  </si>
  <si>
    <t>Dashboard</t>
  </si>
  <si>
    <t>Premissas e Cálculos</t>
  </si>
  <si>
    <t>% Parceiro</t>
  </si>
  <si>
    <t>% Capex sustaining</t>
  </si>
  <si>
    <t xml:space="preserve">Volume ETAR </t>
  </si>
  <si>
    <t xml:space="preserve">S1 - Volume </t>
  </si>
  <si>
    <t>Critérios para Seleção do Parceiro - FASE DE HABILITAÇÃO</t>
  </si>
  <si>
    <t>Preencher</t>
  </si>
  <si>
    <t>Grupos</t>
  </si>
  <si>
    <t>Critério</t>
  </si>
  <si>
    <t>Capacidade Econômico-Financeira</t>
  </si>
  <si>
    <t>Capacidade Técnica</t>
  </si>
  <si>
    <t>Demonstrações financeiras auditados dos exercícios de 2023, 2024 e 2025</t>
  </si>
  <si>
    <t>PL ≥ R$ 100.000.000 comprovado pelo balanço de 2025</t>
  </si>
  <si>
    <t>Critérios para Seleção do Parceiro - FASE DE CLASSIFICAÇÃO</t>
  </si>
  <si>
    <t>Pontos</t>
  </si>
  <si>
    <t>Resposta</t>
  </si>
  <si>
    <t>Pontuação máxima do grupo A (PMGA)</t>
  </si>
  <si>
    <t>PMGA</t>
  </si>
  <si>
    <t>Pontuação máxima do grupo B (PMGB)</t>
  </si>
  <si>
    <t>PMGB</t>
  </si>
  <si>
    <t>PT</t>
  </si>
  <si>
    <t>Notas</t>
  </si>
  <si>
    <t>Peso</t>
  </si>
  <si>
    <t>Grupo B: 
Econômico-Financeiro
(Peso 40%)</t>
  </si>
  <si>
    <t>Nota 0: Não
Nota 3: Parcialmente (Explicar divergências)
Nota 5: Sim</t>
  </si>
  <si>
    <t>kR$/km</t>
  </si>
  <si>
    <t>DN PEAD</t>
  </si>
  <si>
    <t>Nota 1: Plantas de pequeno porte que somadas tem capacidade igual ou acima de 150 L/s 
Nota 2: Plantas com capacidade acima de 50 L/s que somadas tem capacidade igual ou acima de 150 L/s
Nota 3: Plantas com capacidade acima de 100 L/s que somadas tem capacidade acima de 150 L/s
Nota 4: Planta com capacidade individual igual ou acima de 150 L/s
Nota 5: Planta com capacidade individual igual ou acima de 300 L/s</t>
  </si>
  <si>
    <t>Nota 1: Plantas de pequeno porte que somadas tem capacidade igual ou acima de 150 L/s, com tecnologia MBR ou osmose reversa 
Nota 2: Plantas com capacidade acima de 50 L/s que somadas tem capacidade igual ou acima de 150 L/s, com tecnologia MBR ou osmose reversa
Nota 3: Plantas com capacidade acima de 100 L/s que somadas tem capacidade acima de 150 L/s, com tecnologia MBR + osmose reversa
Nota 4: Planta com capacidade individual igual ou acima de 150 L/s, com tecnologia MBR + osmose reversa
Nota 5: Planta com capacidade individual igual ou acima de 300 L/s, com tecnologia MBR + osmose reversa</t>
  </si>
  <si>
    <t xml:space="preserve">Nota 1: 8,5% a 10,0% 
Nota 2: 10,1% a 12,0%
Nota 3: 12,1% a 14,0% 
Nota 4: 14,1% a 16,0%
Nota 5: ≥16,1% </t>
  </si>
  <si>
    <t>Grupo C: Governança, Riscos e Compliance (Peso 10%)</t>
  </si>
  <si>
    <t xml:space="preserve">Grupo A: 
Capacidade técnica 
(Peso 50%)
</t>
  </si>
  <si>
    <t>A2. Qual o porte das plantas de Água de Reúso para fins industriais operadas pela proponente?</t>
  </si>
  <si>
    <t>Nota 1: &lt;R$ 0,10/m³
Nota 2: R$ 0,10 a R$ 0,19/m³
Nota 3: R$ 0,20 a R$ 0,39/m³
Nota 4: R$ 0,40 a R$ 0,50/m³ 
Nota 5: Acima de R$ 0,50/m³</t>
  </si>
  <si>
    <t>Pontuação máxima do grupo C (PMGC)</t>
  </si>
  <si>
    <t>Reuso e Saneamento Industrial - Modelo Econômico-Financeiro - Seleção do Parceiro</t>
  </si>
  <si>
    <t>C1. Concorda em desenvolver uma primeira ETAR durante o período de Operação Piloto, sob a estrutura da SPE?</t>
  </si>
  <si>
    <t xml:space="preserve">C2. Concorda com o o formato de janela de saída via opção de compra e opção de venda ao término do Período de Operação Piloto, nos termos a serem definidos entre as partes? </t>
  </si>
  <si>
    <t xml:space="preserve">Nota 1: Plantas de pequeno porte que somadas tem capacidade igual ou acima de 150 L/s </t>
  </si>
  <si>
    <t>Nota 2: Plantas com capacidade acima de 50 L/s que somadas tem capacidade igual ou acima de 150 L/s</t>
  </si>
  <si>
    <t>Nota 3: Plantas com capacidade acima de 100 L/s que somadas tem capacidade acima de 150 L/s</t>
  </si>
  <si>
    <t>Nota 4: Planta com capacidade individual igual ou acima de 150 L/s</t>
  </si>
  <si>
    <t>Nota 5: Planta com capacidade individual igual ou acima de 300 L/s</t>
  </si>
  <si>
    <t xml:space="preserve">Nota 1: Plantas de pequeno porte que somadas tem capacidade igual ou acima de 150 L/s, com tecnologia MBR ou osmose reversa </t>
  </si>
  <si>
    <t>Nota 2: Plantas com capacidade acima de 50 L/s que somadas tem capacidade igual ou acima de 150 L/s, com tecnologia MBR ou osmose reversa</t>
  </si>
  <si>
    <t>Nota 3: Plantas com capacidade acima de 100 L/s que somadas tem capacidade acima de 150 L/s, com tecnologia MBR + osmose reversa</t>
  </si>
  <si>
    <t>Nota 4: Planta com capacidade individual igual ou acima de 150 L/s, com tecnologia MBR + osmose reversa</t>
  </si>
  <si>
    <t>Nota 5: Planta com capacidade individual igual ou acima de 300 L/s, com tecnologia MBR + osmose reversa</t>
  </si>
  <si>
    <t>Nota 1: &lt;R$ 0,10/m³</t>
  </si>
  <si>
    <t>Nota 2: R$ 0,10 a R$ 0,19/m³</t>
  </si>
  <si>
    <t>Nota 3: R$ 0,20 a R$ 0,39/m³</t>
  </si>
  <si>
    <t xml:space="preserve">Nota 4: R$ 0,40 a R$ 0,50/m³ </t>
  </si>
  <si>
    <t>Nota 5: Acima de R$ 0,50/m³</t>
  </si>
  <si>
    <t xml:space="preserve">Nota 1: 8,5% a 10,0% </t>
  </si>
  <si>
    <t>Nota 2: 10,1% a 12,0%</t>
  </si>
  <si>
    <t xml:space="preserve">Nota 3: 12,1% a 14,0% </t>
  </si>
  <si>
    <t>Nota 4: 14,1% a 16,0%</t>
  </si>
  <si>
    <t xml:space="preserve">Nota 5: ≥16,1% </t>
  </si>
  <si>
    <t>Matriz de Risco</t>
  </si>
  <si>
    <t>ID</t>
  </si>
  <si>
    <t>Categoria</t>
  </si>
  <si>
    <t>Descrição do Risco</t>
  </si>
  <si>
    <t>Probabilidade (1-3)</t>
  </si>
  <si>
    <t>Impacto (1-3)</t>
  </si>
  <si>
    <t>Valor do Risco (P x I)</t>
  </si>
  <si>
    <t>Classificação do Risco</t>
  </si>
  <si>
    <t>1</t>
  </si>
  <si>
    <t>2</t>
  </si>
  <si>
    <t>3</t>
  </si>
  <si>
    <t>4</t>
  </si>
  <si>
    <t>5</t>
  </si>
  <si>
    <t>6</t>
  </si>
  <si>
    <t>7</t>
  </si>
  <si>
    <t>8</t>
  </si>
  <si>
    <t>9</t>
  </si>
  <si>
    <t>10</t>
  </si>
  <si>
    <t>Capex Sustaining</t>
  </si>
  <si>
    <t>% Capex (a. a.)</t>
  </si>
  <si>
    <t>Caso tenha respondido parcialmente no item anterior, explique as divergências no campo ao lado direito =&gt;</t>
  </si>
  <si>
    <t>Nota 0: Não</t>
  </si>
  <si>
    <t>Nota 3: Parcialmente (Explicar divergências)</t>
  </si>
  <si>
    <t>Nota 5: Sim</t>
  </si>
  <si>
    <t>Nota 0: A matriz não cobre todas as categorias (Operacional, Ambiental, Financeiro).
Nota 3: A matriz cobre as três categorias, mas com menos de 2 itens para cada uma das categorias.
Nota 5: A matriz avalia de forma detalhada os riscos em todas as três categorias (Operacional, Ambiental e Financeira), com 2 ou mais exemplos para cada uma delas.</t>
  </si>
  <si>
    <t>Receita líquida anual ≥ R$ 150.000.000 comprovada pelas DFs dos últimos 3 anos</t>
  </si>
  <si>
    <t xml:space="preserve">Índice de Liquidez Geral (ILG) igual ou superior a 0,50 = (Ativo circulante+Realizável a longo prazo)/(Passivo Circulante + Exigível a longo prazo), no últimos 3 anos [EXCETO FUNDOS DE INVESTIMENTO E DE PREVIDÊNCIA]
</t>
  </si>
  <si>
    <t>Índice de Liquidez Corrente (ILC) igual ou superior a 0,80 = (Ativo Circulante)/(Passivo Circulante), no últimos 3 anos [EXCETO FUNDOS DE INVESTIMENTO E DE PREVIDÊNCIA]</t>
  </si>
  <si>
    <t>[APENAS PARA FUNDOS DE INVESTIMENTO]: Índice de Alavancagem (IA) igual ou inferior a 14 = (Passivo Real - Patrimônio Líquido e Diversos) / (Valor do capital social integralizado + Reservas capitalizáveis e Lucros - Prejuízos)</t>
  </si>
  <si>
    <t>Declara atender ao requisito?</t>
  </si>
  <si>
    <t>Regularidade Jurídica, Fiscal e Trabalhista</t>
  </si>
  <si>
    <t>Premissas Técnicas</t>
  </si>
  <si>
    <t>Estrutura da Planilha</t>
  </si>
  <si>
    <t>Aba</t>
  </si>
  <si>
    <t>Ação do Proponente</t>
  </si>
  <si>
    <t>Orientações gerais, legenda de células e descrição das abas</t>
  </si>
  <si>
    <t>Apenas leitura</t>
  </si>
  <si>
    <t>Resumo das principais informações das ETARs e painel de inputs consolidados</t>
  </si>
  <si>
    <t>Preenchimento nas células indicadas</t>
  </si>
  <si>
    <t>Precificação das estruturas, recursos, ativos e gastos que compõem o CAPEX e o OPEX da operação</t>
  </si>
  <si>
    <t>Aba auxiliar com cálculos de suporte para o Modelo Financeiro</t>
  </si>
  <si>
    <t>Habilitação</t>
  </si>
  <si>
    <t>Declaração de disponibilidade dos documentos comprobatórios exigidos</t>
  </si>
  <si>
    <t>Matriz de Riscos</t>
  </si>
  <si>
    <t>Posicionamento do proponente quanto à alocação dos riscos do projeto</t>
  </si>
  <si>
    <t>Classificação</t>
  </si>
  <si>
    <t>Critérios de pontuação e nota consolidada do proponente (0 a 100 pontos)</t>
  </si>
  <si>
    <r>
      <t xml:space="preserve">Apenas visualização — </t>
    </r>
    <r>
      <rPr>
        <b/>
        <sz val="11"/>
        <color theme="1"/>
        <rFont val="Arial Nova Cond"/>
        <family val="2"/>
      </rPr>
      <t>células travadas</t>
    </r>
  </si>
  <si>
    <t>Legenda das Células</t>
  </si>
  <si>
    <t>Código</t>
  </si>
  <si>
    <t>Input livre</t>
  </si>
  <si>
    <t>Célula de preenchimento manual pelo proponente — inserir valor numérico ou texto diretamente</t>
  </si>
  <si>
    <t>Input lista</t>
  </si>
  <si>
    <t>Célula de seleção — o proponente deverá escolher uma opção dentro da lista suspensa disponível na própria célula</t>
  </si>
  <si>
    <t>Travada</t>
  </si>
  <si>
    <r>
      <t xml:space="preserve">Célula bloqueada — contém fórmulas, cálculos ou valores já definidos; </t>
    </r>
    <r>
      <rPr>
        <b/>
        <sz val="11"/>
        <color theme="1"/>
        <rFont val="Arial"/>
        <family val="2"/>
      </rPr>
      <t>não deve ser alterada</t>
    </r>
  </si>
  <si>
    <t>Legenda</t>
  </si>
  <si>
    <t>Amarelo (Letra Azul)</t>
  </si>
  <si>
    <t>Laranja claro (Letra Preta)</t>
  </si>
  <si>
    <t>Sem preenchimento (Letra Preta)</t>
  </si>
  <si>
    <t>Sobre o Modelo Financeiro</t>
  </si>
  <si>
    <t>O modelo financeiro é simplificado e foi desenvolvido para a avaliação econômica da oportunidade de negócio, considerando premissas previamente alinhadas entre a SANEPAR e sua assessoria. À medida que o projeto avance para a Fase 2, algumas premissas serão refinadas e os resultados poderão ser atualizados.
Base monetária de referência: dezembro de 2025; Moeda: Real brasileiro (R$)
Os resultados do modelo são sensíveis aos inputs inseridos pelo proponente na Aba de Premissas Técnicas — valores de CAPEX e OPEX distintos dos referenciais produzirão diferentes projeções de TIR, que impactarão diretamente a pontuação na Aba de Classificação</t>
  </si>
  <si>
    <t>Regras para Preenchimento</t>
  </si>
  <si>
    <t>1. Preencha as células na sequência das abas, começando pela Habilitação, Classificação, Premissas Técnicas e Matriz de Riscos
2. Nas células de lista suspensa (laranja claro), selecione sempre uma das opções disponíveis — respostas fora da lista não serão computadas
3. Nas células de input livre (amarelo), insira apenas valores no formato solicitado (número, percentual ou texto), conforme indicado na própria célula ou em coluna de orientação adjacente
4. Não desproteja, não formate e não exclua nenhuma célula da planilha
5. Ao finalizar o preenchimento, salve o arquivo no formato .xlsx e submeta conforme instruções do Edital</t>
  </si>
  <si>
    <t>Dúvidas e Esclarecimentos</t>
  </si>
  <si>
    <t>[DIGITAR AQUI]</t>
  </si>
  <si>
    <t>Nota 0</t>
  </si>
  <si>
    <t>Depreciação</t>
  </si>
  <si>
    <t>Vida útil</t>
  </si>
  <si>
    <r>
      <t>B2. TIR real do projeto a partir dos inputs técnicos da proponente</t>
    </r>
    <r>
      <rPr>
        <sz val="10"/>
        <rFont val="Arial Nova Cond"/>
        <family val="2"/>
      </rPr>
      <t xml:space="preserve"> [VALOR DA RESPOSTA É CAPTURADO DE FORMA AUTOMÁTICA APÓS INPUTS DA ABA "PREMISSAS TÉCNICAS"]</t>
    </r>
  </si>
  <si>
    <r>
      <t xml:space="preserve">B1. Qual o valor ofertado à Sanepar pelo serviço de disponibilidade do efluente tratado? (R$/m³)  </t>
    </r>
    <r>
      <rPr>
        <sz val="10"/>
        <rFont val="Arial Nova Cond"/>
        <family val="2"/>
      </rPr>
      <t>[VALOR DA RESPOSTA É CAPTURADO DE FORMA AUTOMÁTICA APÓS INPUTS DA ABA "PREMISSAS TÉCNICAS"]</t>
    </r>
  </si>
  <si>
    <r>
      <t xml:space="preserve">C3. Desenvolvimento de uma matriz de riscos </t>
    </r>
    <r>
      <rPr>
        <sz val="10"/>
        <rFont val="Arial Nova Cond"/>
        <family val="2"/>
      </rPr>
      <t>[VALOR DA RESPOSTA É CAPTURADO DE FORMA AUTOMÁTICA APÓS INPUTS DA ABA "MATRIZ DE RISCOS"]</t>
    </r>
  </si>
  <si>
    <t>Índice de Endividamento Total (IE) igual ou inferior a 0,90 = (Passivo Circulante + Exigível a longo prazo)/(Ativo Total), no últimos 3 anos [EXCETO FUNDOS DE INVESTIMENTO E DE PREVIDÊNCIA]</t>
  </si>
  <si>
    <t>[APENAS PARA FUNDOS DE PREVIDÊNCIA]: Índice de Cobertura de Benefícios (ICB) igual ou superior a 0,7 = (Ativo Total - Contribuições Contratadas - Exigível Operacional - Exigível Contingencial - Valor dos Fundos -  Benefícios Concedidos - Provisões Matemáticas a Integralizar) / (Benefícios a Conceder)</t>
  </si>
  <si>
    <t>Instalação de planta(s) de água de reúso com tecnologia de MBR e/ou osmose reversa, com capacidade mínima (somada ou não) correspondente a 150 L/s.</t>
  </si>
  <si>
    <t>Operação de planta(s) de água de reúso para fins industriais com tecnologia de MBR e/ou osmose reversa, com capacidade mínima (somada ou não) correspondente a 150 L/s.</t>
  </si>
  <si>
    <t>A1. Qual o porte das plantas de Água de Reúso implantadas pela proponente?</t>
  </si>
  <si>
    <t>A3. Qual a tecnologia de tratamento adotada nas plantas de Água de Reúso implantadas e/ou operadas pela proponente?</t>
  </si>
  <si>
    <r>
      <t>Orientação:</t>
    </r>
    <r>
      <rPr>
        <sz val="11"/>
        <color theme="1"/>
        <rFont val="Arial Nova Cond"/>
        <family val="2"/>
      </rPr>
      <t xml:space="preserve">  
Listar riscos nas catergorias operacional, ambiental e financeiro, no máximo 10 (dez) riscos.
Avaliar probabilidade (1-baixo, 2-médio e 3-alto) e impacto (1-baixo, 2-médio e 3-alto).
O valor do risco será produto da probabilidade pelo impacto (valor entre 1 e 9) 
Descreva cada risco de forma específica e contextualizada ao projeto, indicando sua causa (o que pode originar o risco) e seu efeito (qual impacto concreto causaria ao negócio), sendo que descrições genéricas, desconexas do projeto de água de reuso e saneamento industrial ou sem nexo causal claro entre causa e efeito não serão consideradas para fins de pontuação.
</t>
    </r>
    <r>
      <rPr>
        <b/>
        <sz val="11"/>
        <color theme="1"/>
        <rFont val="Arial Nova Cond"/>
        <family val="2"/>
      </rPr>
      <t xml:space="preserve">
Como será analisado?
Nota 0: A matriz não cobre todas as categorias (Operacional, Ambiental, Financeiro).
Nota 3: A matriz cobre as três categorias, mas com menos de 2 itens para cada uma das categorias.
Nota 5: A matriz avalia de forma detalhada os riscos em todas as três categorias (Operacional, Ambiental e Financeira), com 2 ou mais exemplos para cada uma delas.</t>
    </r>
  </si>
  <si>
    <r>
      <t xml:space="preserve">
Este documento compreende o </t>
    </r>
    <r>
      <rPr>
        <b/>
        <sz val="11"/>
        <rFont val="Arial Nova Cond"/>
        <family val="2"/>
      </rPr>
      <t>Modelo Econômico-Financeiro (MEF)</t>
    </r>
    <r>
      <rPr>
        <sz val="11"/>
        <rFont val="Arial Nova Cond"/>
        <family val="2"/>
      </rPr>
      <t xml:space="preserve"> da oportunidade de negócio de Reuso e Saneamento Industrial, desenvolvida pela </t>
    </r>
    <r>
      <rPr>
        <b/>
        <sz val="11"/>
        <rFont val="Arial Nova Cond"/>
        <family val="2"/>
      </rPr>
      <t>Companhia de Saneamento do Paraná – SANEPAR</t>
    </r>
    <r>
      <rPr>
        <sz val="11"/>
        <rFont val="Arial Nova Cond"/>
        <family val="2"/>
      </rPr>
      <t xml:space="preserve">, com assessoria direta da A&amp;M Infra. O modelo foi estruturado para suportar o processo competitivo de seleção de parceiro estratégico privado, nos termos do </t>
    </r>
    <r>
      <rPr>
        <b/>
        <sz val="11"/>
        <rFont val="Arial Nova Cond"/>
        <family val="2"/>
      </rPr>
      <t>Edital de Chamamento Público nº 001/2026 – DIN.</t>
    </r>
    <r>
      <rPr>
        <sz val="11"/>
        <rFont val="Arial Nova Cond"/>
        <family val="2"/>
      </rPr>
      <t xml:space="preserve">
</t>
    </r>
    <r>
      <rPr>
        <b/>
        <u/>
        <sz val="11"/>
        <rFont val="Arial Nova Cond"/>
        <family val="2"/>
      </rPr>
      <t>Caráter Preliminar das Informações</t>
    </r>
    <r>
      <rPr>
        <sz val="11"/>
        <rFont val="Arial Nova Cond"/>
        <family val="2"/>
      </rPr>
      <t xml:space="preserve">
As informações, projeções e resultados econômico-financeiros aqui apresentados possuem caráter preliminar e não vinculante. O projeto encontra-se na Fase 1 de desenvolvimento do Plano de Negócios, de forma que premissas operacionais, comerciais e financeiras poderão ser revisadas e aperfeiçoadas ao longo da Fase 2. Os resultados do modelo refletirão as atualizações de premissas à medida que o desenvolvimento do projeto avance.
</t>
    </r>
    <r>
      <rPr>
        <b/>
        <u/>
        <sz val="11"/>
        <rFont val="Arial Nova Cond"/>
        <family val="2"/>
      </rPr>
      <t>Estrutura da Planilha</t>
    </r>
    <r>
      <rPr>
        <sz val="11"/>
        <rFont val="Arial Nova Cond"/>
        <family val="2"/>
      </rPr>
      <t xml:space="preserve">
A presente planilha está organizada em sete módulos principais, conforme descrito a seguir:
</t>
    </r>
    <r>
      <rPr>
        <b/>
        <sz val="11"/>
        <rFont val="Arial Nova Cond"/>
        <family val="2"/>
      </rPr>
      <t>Aba de Instruções:</t>
    </r>
    <r>
      <rPr>
        <sz val="11"/>
        <rFont val="Arial Nova Cond"/>
        <family val="2"/>
      </rPr>
      <t xml:space="preserve"> contém as orientações gerais para navegação e preenchimento da planilha, incluindo as listas de opções disponíveis para seleção nas abas de Habilitação e Classificação; o proponente deverá ler esta aba integralmente antes de iniciar o preenchimento
</t>
    </r>
    <r>
      <rPr>
        <b/>
        <sz val="11"/>
        <rFont val="Arial Nova Cond"/>
        <family val="2"/>
      </rPr>
      <t>Aba de Habilitação:</t>
    </r>
    <r>
      <rPr>
        <sz val="11"/>
        <rFont val="Arial Nova Cond"/>
        <family val="2"/>
      </rPr>
      <t xml:space="preserve"> o proponente deverá declarar a disponibilidade dos documentos comprobatórios exigidos pelo Edital em relação aos requisitos econômico-financeiros e técnicos; a verificação documental ocorrerá apenas na etapa posterior: caso o proponente seja declarado vencedor do processo competitivo, estará obrigado a apresentar os documentos originais correspondentes às declarações prestadas em um prazo de até 3 (três) dias úteis contados da notificação formal.
</t>
    </r>
    <r>
      <rPr>
        <b/>
        <sz val="11"/>
        <rFont val="Arial Nova Cond"/>
        <family val="2"/>
      </rPr>
      <t>Aba de Classificação:</t>
    </r>
    <r>
      <rPr>
        <sz val="11"/>
        <rFont val="Arial Nova Cond"/>
        <family val="2"/>
      </rPr>
      <t xml:space="preserve"> o proponente encontrará, para cada item de classificação, uma célula específica na qual deverá selecionar uma opção de lista predefinida, conforme as instruções detalhadas na Aba de Instruções; em determinados itens, a pontuação será calculada automaticamente com base nos valores inseridos na Aba de Premissas Técnicas ou nas respostas declaradas na Aba de Matriz de Riscos, refletindo a proposta técnico-financeira do proponente; ao final, o modelo calculará automaticamente uma nota consolidada de 0 a 100 pontos, posicionando o proponente no ranking do processo competitivo
</t>
    </r>
    <r>
      <rPr>
        <b/>
        <sz val="11"/>
        <rFont val="Arial Nova Cond"/>
        <family val="2"/>
      </rPr>
      <t>Aba de Premissas Técnicas:</t>
    </r>
    <r>
      <rPr>
        <sz val="11"/>
        <rFont val="Arial Nova Cond"/>
        <family val="2"/>
      </rPr>
      <t xml:space="preserve"> o proponente poderá ajustar os valores referenciais unitários de CAPEX, OPEX e demais premissas técnicas e operacionais do projeto, com base em sua própria experiência e capacidade de execução; os valores inseridos nesta aba influenciarão diretamente a TIR projetada do projeto, que constitui um dos critérios de classificação do processo competitivo
</t>
    </r>
    <r>
      <rPr>
        <b/>
        <sz val="11"/>
        <rFont val="Arial Nova Cond"/>
        <family val="2"/>
      </rPr>
      <t>Aba de Matriz de Riscos:</t>
    </r>
    <r>
      <rPr>
        <sz val="11"/>
        <rFont val="Arial Nova Cond"/>
        <family val="2"/>
      </rPr>
      <t xml:space="preserve"> o proponente deverá preencher sua posição em relação à alocação dos riscos do projeto, indicando, para cada risco identificado, a parte que propõe assumir a responsabilidade — a SANEPAR, o parceiro privado/SPE, ou de forma compartilhada; o posicionamento declarado pelo proponente nesta aba influenciará diretamente a pontuação de um dos itens do critério de classificação, conforme detalhado na própria Aba de Classificação.
</t>
    </r>
    <r>
      <rPr>
        <b/>
        <sz val="11"/>
        <rFont val="Arial Nova Cond"/>
        <family val="2"/>
      </rPr>
      <t xml:space="preserve">Aba Dashboard: </t>
    </r>
    <r>
      <rPr>
        <sz val="11"/>
        <rFont val="Arial Nova Cond"/>
        <family val="2"/>
      </rPr>
      <t xml:space="preserve">aba de apenas visualização, não editável pelo proponente; resumo das principais informações das ETARs e painel de inputs consolidados
</t>
    </r>
    <r>
      <rPr>
        <b/>
        <sz val="11"/>
        <rFont val="Arial Nova Cond"/>
        <family val="2"/>
      </rPr>
      <t>Aba de Premissas e Cálculos:</t>
    </r>
    <r>
      <rPr>
        <sz val="11"/>
        <rFont val="Arial Nova Cond"/>
        <family val="2"/>
      </rPr>
      <t xml:space="preserve"> aba de apenas visualização, não editável pelo proponente; processa e projeta, ao longo de todo o horizonte do projeto, as receitas, volumes, CAPEX, OPEX e demais variáveis técnicas e financeiras derivadas das premissas inseridas na Aba de Premissas Técnicas; tem função auxiliar e serve exclusivamente como base de cálculo intermediária para alimentar o Modelo Econômico-Financeiro
</t>
    </r>
    <r>
      <rPr>
        <b/>
        <sz val="11"/>
        <rFont val="Arial Nova Cond"/>
        <family val="2"/>
      </rPr>
      <t>Aba Modelo Financeiro (MEF):</t>
    </r>
    <r>
      <rPr>
        <sz val="11"/>
        <rFont val="Arial Nova Cond"/>
        <family val="2"/>
      </rPr>
      <t xml:space="preserve"> aba de apenas visualização, não editável pelo proponente; apresenta as projeções financeiras consolidadas do projeto — incluindo a Demonstração do Resultado do Exercício (DRE) e o Fluxo de Caixa Livre para a Firma (FCFF) — calculadas a partir das premissas e cálculos intermediários, permitindo ao proponente compreender os fundamentos econômico-financeiros da oportunidade
</t>
    </r>
    <r>
      <rPr>
        <b/>
        <u/>
        <sz val="11"/>
        <rFont val="Arial Nova Cond"/>
        <family val="2"/>
      </rPr>
      <t>Dinâmica do Processo</t>
    </r>
    <r>
      <rPr>
        <sz val="11"/>
        <rFont val="Arial Nova Cond"/>
        <family val="2"/>
      </rPr>
      <t xml:space="preserve">
O proponente que obtiver a maior pontuação, desde que devidamente habilitado conforme os requisitos do Edital, será convocado para a fase de due diligence e verificação dos atestados e documentos comprobatórios apresentados. Não sendo identificadas inconsistências nessa etapa, o proponente será declarado vencedor do processo competitivo e estará apto a avançar para a constituição da Sociedade de Propósito Específico – SPE em parceria com a SANEPAR.</t>
    </r>
  </si>
  <si>
    <t xml:space="preserve">Declara ter apresentado os documentos solicitados no item 13.5 do Edital de Chamamento Público 001/2026 - DIN? </t>
  </si>
  <si>
    <t>[APENAS PARA CONSÓRCIOS]: Declara ter apresentado o documento solicitado no item 13.6 do Edital de Chamamento Público 001/2026 - DIN?</t>
  </si>
  <si>
    <t>[APENAS PARA FUNDOS DE PREVIDÊNCIA]: Declara ter apresentado os documentos solicitados no item 13.7 do Edital de Chamamento Público 001/2026 - DIN?</t>
  </si>
  <si>
    <t>[APENAS PARA FUNDOS DE INVESTIMENTO]:  Declara ter apresentado os documentos solicitados no item 13.8 do Edital de Chamamento Público 001/2026 - DIN?</t>
  </si>
  <si>
    <t>Edital de Chamamento Público nº 001/2026 – DIN.</t>
  </si>
  <si>
    <t>Dúvidas relativas ao preenchimento desta planilha deverão ser encaminhadas exclusivamente pelos canais oficiais do processo competitivo, dentro do prazo de esclarecimentos previsto no Edital de Chamamento Público nº 001/2026 – DIN.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</si>
</sst>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quot;R$&quot;\ * #,##0.00_-;\-&quot;R$&quot;\ * #,##0.00_-;_-&quot;R$&quot;\ * &quot;-&quot;??_-;_-@_-"/>
    <numFmt numFmtId="43" formatCode="_-* #,##0.00_-;\-* #,##0.00_-;_-* &quot;-&quot;??_-;_-@_-"/>
    <numFmt numFmtId="164" formatCode="_(* #,##0.00_);_(* \(#,##0.00\);_(* &quot;-&quot;??_);_(@_)"/>
    <numFmt numFmtId="165" formatCode="0.0000"/>
    <numFmt numFmtId="166" formatCode="0.0%"/>
    <numFmt numFmtId="167" formatCode="0.000"/>
    <numFmt numFmtId="168" formatCode="#,##0_);\(#,##0\);\-_);@"/>
    <numFmt numFmtId="169" formatCode="_(* #,##0_);_(* \(#,##0\);_(* &quot;-&quot;??_);_(@_)"/>
    <numFmt numFmtId="170" formatCode="0%\ &quot;TIR&quot;"/>
    <numFmt numFmtId="171" formatCode="#,##0\ &quot;kR$ VPL&quot;"/>
    <numFmt numFmtId="172" formatCode="&quot;Sim&quot;;&quot;-&quot;;&quot;Não&quot;"/>
    <numFmt numFmtId="173" formatCode="_-* #,##0_-;\-* #,##0_-;_-* &quot;-&quot;??_-;_-@_-"/>
    <numFmt numFmtId="174" formatCode="_-[$R$-416]\ * #,##0.00_-;\-[$R$-416]\ * #,##0.00_-;_-[$R$-416]\ * &quot;-&quot;??_-;_-@_-"/>
    <numFmt numFmtId="175" formatCode="_-* #,##0.0_-;\-* #,##0.0_-;_-* &quot;-&quot;??_-;_-@_-"/>
    <numFmt numFmtId="176" formatCode="#,##0.000"/>
    <numFmt numFmtId="177" formatCode="0.000000"/>
    <numFmt numFmtId="178" formatCode="_-[$R$-416]\ * #,##0_-;\-[$R$-416]\ * #,##0_-;_-[$R$-416]\ * &quot;-&quot;??_-;_-@_-"/>
    <numFmt numFmtId="179" formatCode="0.0"/>
    <numFmt numFmtId="180" formatCode="#,##0.00\ &quot;R$/mês&quot;"/>
    <numFmt numFmtId="181" formatCode="#,##0.00\ &quot;R$/carregamento&quot;"/>
    <numFmt numFmtId="182" formatCode="#,##0.00\ &quot;R$/viagem&quot;"/>
    <numFmt numFmtId="183" formatCode="#,##0.00\ &quot;R$/m²&quot;"/>
    <numFmt numFmtId="184" formatCode="#,##0.00\ &quot;R$/pessoa&quot;"/>
    <numFmt numFmtId="185" formatCode="#,##0.00\ &quot;R$/m³&quot;"/>
    <numFmt numFmtId="186" formatCode="0.00000"/>
    <numFmt numFmtId="187" formatCode="&quot;Sim&quot;;;&quot;Não&quot;"/>
    <numFmt numFmtId="188" formatCode="&quot;ok&quot;;;&quot;error&quot;"/>
    <numFmt numFmtId="189" formatCode="&quot;Ano&quot;\ 0"/>
    <numFmt numFmtId="190" formatCode="#,##0.00000"/>
    <numFmt numFmtId="191" formatCode="#,##0.00\ &quot;R$/colaborador&quot;"/>
    <numFmt numFmtId="192" formatCode="0\ &quot;t/d&quot;"/>
    <numFmt numFmtId="193" formatCode="0.00\ &quot;R$/t&quot;"/>
    <numFmt numFmtId="194" formatCode="0\ &quot;mm&quot;"/>
    <numFmt numFmtId="195" formatCode="0.0000%"/>
  </numFmts>
  <fonts count="82">
    <font>
      <sz val="11"/>
      <color theme="1"/>
      <name val="Calibri"/>
      <family val="2"/>
      <scheme val="minor"/>
    </font>
    <font>
      <sz val="10"/>
      <color theme="1"/>
      <name val="Arial (body)"/>
      <family val="2"/>
    </font>
    <font>
      <sz val="10"/>
      <color theme="1"/>
      <name val="Arial (body)"/>
      <family val="2"/>
    </font>
    <font>
      <sz val="10"/>
      <color theme="1"/>
      <name val="Arial (body)"/>
      <family val="2"/>
    </font>
    <font>
      <sz val="10"/>
      <color theme="1"/>
      <name val="Arial (body)"/>
      <family val="2"/>
    </font>
    <font>
      <sz val="10"/>
      <color theme="1"/>
      <name val="Arial (body)"/>
      <family val="2"/>
    </font>
    <font>
      <sz val="11"/>
      <color theme="1"/>
      <name val="Calibri"/>
      <family val="2"/>
      <scheme val="minor"/>
    </font>
    <font>
      <b/>
      <sz val="20"/>
      <color rgb="FFFFFFFF"/>
      <name val="Arial Nova Cond"/>
      <family val="2"/>
    </font>
    <font>
      <sz val="20"/>
      <color theme="1"/>
      <name val="Arial Nova Cond"/>
      <family val="2"/>
    </font>
    <font>
      <b/>
      <sz val="10"/>
      <color theme="0"/>
      <name val="Arial Nova Cond"/>
      <family val="2"/>
    </font>
    <font>
      <sz val="10"/>
      <color theme="1"/>
      <name val="Arial Nova Cond"/>
      <family val="2"/>
    </font>
    <font>
      <sz val="10"/>
      <color theme="0"/>
      <name val="Arial Nova Cond"/>
      <family val="2"/>
    </font>
    <font>
      <b/>
      <u/>
      <sz val="10"/>
      <color theme="1"/>
      <name val="Arial Nova Cond"/>
      <family val="2"/>
    </font>
    <font>
      <sz val="10"/>
      <name val="Arial Nova Cond"/>
      <family val="2"/>
    </font>
    <font>
      <b/>
      <sz val="10"/>
      <color theme="1"/>
      <name val="Arial Nova Cond"/>
      <family val="2"/>
    </font>
    <font>
      <u/>
      <sz val="11"/>
      <color theme="10"/>
      <name val="Calibri"/>
      <family val="2"/>
      <scheme val="minor"/>
    </font>
    <font>
      <sz val="11"/>
      <color rgb="FFFF0000"/>
      <name val="Calibri"/>
      <family val="2"/>
      <scheme val="minor"/>
    </font>
    <font>
      <sz val="10"/>
      <color theme="1"/>
      <name val="Calibri"/>
      <family val="2"/>
      <scheme val="minor"/>
    </font>
    <font>
      <sz val="10"/>
      <color rgb="FFC00000"/>
      <name val="Arial Nova Cond"/>
      <family val="2"/>
    </font>
    <font>
      <sz val="8"/>
      <name val="Calibri"/>
      <family val="2"/>
      <scheme val="minor"/>
    </font>
    <font>
      <b/>
      <sz val="10"/>
      <color rgb="FFFFFFFF"/>
      <name val="Arial Nova Cond"/>
      <family val="2"/>
    </font>
    <font>
      <b/>
      <sz val="24"/>
      <color rgb="FFFFFFFF"/>
      <name val="Arial Nova Cond"/>
      <family val="2"/>
    </font>
    <font>
      <b/>
      <sz val="10"/>
      <name val="Arial Nova Cond"/>
      <family val="2"/>
    </font>
    <font>
      <sz val="10"/>
      <color rgb="FFFF0000"/>
      <name val="Arial Nova Cond"/>
      <family val="2"/>
    </font>
    <font>
      <sz val="9"/>
      <color theme="1"/>
      <name val="Calibri"/>
      <family val="2"/>
      <scheme val="minor"/>
    </font>
    <font>
      <sz val="10"/>
      <color rgb="FF0000FF"/>
      <name val="Calibri"/>
      <family val="2"/>
    </font>
    <font>
      <sz val="11"/>
      <color rgb="FF0070C0"/>
      <name val="Calibri"/>
      <family val="2"/>
      <scheme val="minor"/>
    </font>
    <font>
      <i/>
      <sz val="9"/>
      <color theme="1"/>
      <name val="Calibri"/>
      <family val="2"/>
      <scheme val="minor"/>
    </font>
    <font>
      <b/>
      <sz val="11"/>
      <color theme="1"/>
      <name val="Calibri"/>
      <family val="2"/>
      <scheme val="minor"/>
    </font>
    <font>
      <i/>
      <sz val="10"/>
      <color theme="1"/>
      <name val="Arial Nova Cond"/>
      <family val="2"/>
    </font>
    <font>
      <sz val="11"/>
      <color theme="1"/>
      <name val="Liberation Sans"/>
      <family val="2"/>
    </font>
    <font>
      <b/>
      <sz val="9"/>
      <color theme="0"/>
      <name val="Arial Nova Cond"/>
      <family val="2"/>
    </font>
    <font>
      <sz val="9"/>
      <color theme="1"/>
      <name val="Arial Nova Cond"/>
      <family val="2"/>
    </font>
    <font>
      <sz val="9"/>
      <color theme="0"/>
      <name val="Arial Nova Cond"/>
      <family val="2"/>
    </font>
    <font>
      <b/>
      <u/>
      <sz val="9"/>
      <color theme="1"/>
      <name val="Arial Nova Cond"/>
      <family val="2"/>
    </font>
    <font>
      <sz val="9"/>
      <color rgb="FF0070C0"/>
      <name val="Arial Nova Cond"/>
      <family val="2"/>
    </font>
    <font>
      <sz val="9"/>
      <name val="Arial Nova Cond"/>
      <family val="2"/>
    </font>
    <font>
      <b/>
      <sz val="9"/>
      <color theme="1"/>
      <name val="Arial Nova Cond"/>
      <family val="2"/>
    </font>
    <font>
      <b/>
      <sz val="9"/>
      <name val="Arial Nova Cond"/>
      <family val="2"/>
    </font>
    <font>
      <u/>
      <sz val="9"/>
      <color theme="1"/>
      <name val="Arial Nova Cond"/>
      <family val="2"/>
    </font>
    <font>
      <sz val="9"/>
      <color theme="8"/>
      <name val="Arial Nova Cond"/>
      <family val="2"/>
    </font>
    <font>
      <b/>
      <u/>
      <sz val="9"/>
      <color theme="0"/>
      <name val="Arial Nova Cond"/>
      <family val="2"/>
    </font>
    <font>
      <sz val="10"/>
      <color theme="8"/>
      <name val="Arial Nova Cond"/>
      <family val="2"/>
    </font>
    <font>
      <b/>
      <i/>
      <sz val="10"/>
      <color rgb="FFFFFFFF"/>
      <name val="Arial Nova Cond"/>
      <family val="2"/>
    </font>
    <font>
      <b/>
      <i/>
      <sz val="9"/>
      <color theme="0"/>
      <name val="Arial Nova Cond"/>
      <family val="2"/>
    </font>
    <font>
      <b/>
      <i/>
      <u/>
      <sz val="9"/>
      <color theme="0"/>
      <name val="Arial Nova Cond"/>
      <family val="2"/>
    </font>
    <font>
      <i/>
      <sz val="9"/>
      <color theme="1"/>
      <name val="Arial Nova Cond"/>
      <family val="2"/>
    </font>
    <font>
      <i/>
      <sz val="9"/>
      <name val="Arial Nova Cond"/>
      <family val="2"/>
    </font>
    <font>
      <b/>
      <sz val="18"/>
      <color rgb="FFFFFFFF"/>
      <name val="Arial Nova Cond"/>
      <family val="2"/>
    </font>
    <font>
      <sz val="9"/>
      <color rgb="FFFF0000"/>
      <name val="Arial Nova Cond"/>
      <family val="2"/>
    </font>
    <font>
      <i/>
      <sz val="9"/>
      <color rgb="FFFF0000"/>
      <name val="Arial Nova Cond"/>
      <family val="2"/>
    </font>
    <font>
      <b/>
      <sz val="9"/>
      <color theme="1"/>
      <name val="Calibri"/>
      <family val="2"/>
      <scheme val="minor"/>
    </font>
    <font>
      <b/>
      <sz val="8"/>
      <color rgb="FFFFFFFF"/>
      <name val="Arial Nova Cond"/>
      <family val="2"/>
    </font>
    <font>
      <b/>
      <sz val="11"/>
      <color theme="0"/>
      <name val="Calibri"/>
      <family val="2"/>
      <scheme val="minor"/>
    </font>
    <font>
      <sz val="11"/>
      <color rgb="FFC00000"/>
      <name val="Calibri"/>
      <family val="2"/>
      <scheme val="minor"/>
    </font>
    <font>
      <sz val="10"/>
      <color rgb="FF008FCD"/>
      <name val="Arial Nova Cond"/>
      <family val="2"/>
    </font>
    <font>
      <sz val="10"/>
      <color rgb="FF01147E"/>
      <name val="Arial Nova Cond"/>
      <family val="2"/>
    </font>
    <font>
      <b/>
      <sz val="14"/>
      <name val="Arial Nova Cond"/>
      <family val="2"/>
    </font>
    <font>
      <sz val="11"/>
      <name val="Arial Nova Cond"/>
      <family val="2"/>
    </font>
    <font>
      <sz val="11"/>
      <color theme="1"/>
      <name val="Arial Nova Cond"/>
      <family val="2"/>
    </font>
    <font>
      <b/>
      <sz val="11"/>
      <color theme="1"/>
      <name val="Arial Nova Cond"/>
      <family val="2"/>
    </font>
    <font>
      <sz val="10"/>
      <color theme="1" tint="0.24994659260841701"/>
      <name val="Arial Nova Cond"/>
      <family val="2"/>
    </font>
    <font>
      <i/>
      <sz val="7"/>
      <color theme="1"/>
      <name val="Arial Nova Cond"/>
      <family val="2"/>
    </font>
    <font>
      <sz val="9"/>
      <color rgb="FFC00000"/>
      <name val="Arial Nova Cond"/>
      <family val="2"/>
    </font>
    <font>
      <sz val="10"/>
      <color theme="1"/>
      <name val="Arial"/>
      <family val="2"/>
    </font>
    <font>
      <b/>
      <sz val="18"/>
      <color theme="0"/>
      <name val="Arial Nova Cond"/>
      <family val="2"/>
    </font>
    <font>
      <b/>
      <sz val="12"/>
      <color theme="0"/>
      <name val="Arial"/>
      <family val="2"/>
    </font>
    <font>
      <b/>
      <sz val="12"/>
      <color rgb="FFC00000"/>
      <name val="Calibri"/>
      <family val="2"/>
      <scheme val="minor"/>
    </font>
    <font>
      <sz val="11"/>
      <color theme="1"/>
      <name val="Symbol"/>
      <family val="1"/>
      <charset val="2"/>
    </font>
    <font>
      <b/>
      <sz val="10"/>
      <color theme="1"/>
      <name val="Calibri"/>
      <family val="2"/>
      <scheme val="minor"/>
    </font>
    <font>
      <sz val="9"/>
      <name val="Calibri"/>
      <family val="2"/>
      <scheme val="minor"/>
    </font>
    <font>
      <b/>
      <sz val="11"/>
      <name val="Arial Nova Cond"/>
      <family val="2"/>
    </font>
    <font>
      <b/>
      <u/>
      <sz val="11"/>
      <name val="Arial Nova Cond"/>
      <family val="2"/>
    </font>
    <font>
      <b/>
      <sz val="11"/>
      <color theme="1"/>
      <name val="Arial"/>
      <family val="2"/>
    </font>
    <font>
      <sz val="11"/>
      <color rgb="FF0070C0"/>
      <name val="Arial Nova Cond"/>
      <family val="2"/>
    </font>
    <font>
      <b/>
      <sz val="11"/>
      <color theme="0"/>
      <name val="Arial Nova Cond"/>
      <family val="2"/>
    </font>
    <font>
      <b/>
      <sz val="11"/>
      <color rgb="FFC00000"/>
      <name val="Arial Nova Cond"/>
      <family val="2"/>
    </font>
    <font>
      <sz val="10"/>
      <name val="Arial (body)"/>
      <family val="2"/>
    </font>
    <font>
      <sz val="11"/>
      <name val="Calibri"/>
      <family val="2"/>
      <scheme val="minor"/>
    </font>
    <font>
      <sz val="11"/>
      <color rgb="FF002060"/>
      <name val="Arial Nova Cond"/>
      <family val="2"/>
    </font>
    <font>
      <b/>
      <i/>
      <sz val="10"/>
      <color theme="1"/>
      <name val="Arial Nova Cond"/>
      <family val="2"/>
    </font>
    <font>
      <i/>
      <sz val="10"/>
      <color theme="0"/>
      <name val="Arial Nova Cond"/>
      <family val="2"/>
    </font>
  </fonts>
  <fills count="32">
    <fill>
      <patternFill patternType="none"/>
    </fill>
    <fill>
      <patternFill patternType="gray125"/>
    </fill>
    <fill>
      <patternFill patternType="solid">
        <fgColor rgb="FF002B49"/>
        <bgColor rgb="FF000000"/>
      </patternFill>
    </fill>
    <fill>
      <patternFill patternType="solid">
        <fgColor rgb="FF002B49"/>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2060"/>
        <bgColor indexed="64"/>
      </patternFill>
    </fill>
    <fill>
      <patternFill patternType="solid">
        <fgColor rgb="FFFFFF00"/>
        <bgColor indexed="64"/>
      </patternFill>
    </fill>
    <fill>
      <patternFill patternType="solid">
        <fgColor theme="0"/>
        <bgColor indexed="64"/>
      </patternFill>
    </fill>
    <fill>
      <patternFill patternType="solid">
        <fgColor rgb="FF002D4C"/>
        <bgColor indexed="64"/>
      </patternFill>
    </fill>
    <fill>
      <patternFill patternType="solid">
        <fgColor rgb="FFFFFF99"/>
        <bgColor indexed="64"/>
      </patternFill>
    </fill>
    <fill>
      <patternFill patternType="solid">
        <fgColor rgb="FFFFFFCC"/>
        <bgColor indexed="64"/>
      </patternFill>
    </fill>
    <fill>
      <patternFill patternType="solid">
        <fgColor rgb="FFFFCCFF"/>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6" tint="-0.49998474074526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theme="0" tint="-0.14999847407452621"/>
        <bgColor theme="0" tint="-0.14999847407452621"/>
      </patternFill>
    </fill>
    <fill>
      <patternFill patternType="solid">
        <fgColor theme="1" tint="0.249977111117893"/>
        <bgColor theme="9"/>
      </patternFill>
    </fill>
    <fill>
      <patternFill patternType="solid">
        <fgColor rgb="FFFFCC99"/>
        <bgColor indexed="64"/>
      </patternFill>
    </fill>
    <fill>
      <patternFill patternType="solid">
        <fgColor theme="0"/>
        <bgColor rgb="FF153D64"/>
      </patternFill>
    </fill>
    <fill>
      <patternFill patternType="solid">
        <fgColor rgb="FF002060"/>
        <bgColor rgb="FF153D64"/>
      </patternFill>
    </fill>
    <fill>
      <patternFill patternType="solid">
        <fgColor theme="2"/>
        <bgColor indexed="64"/>
      </patternFill>
    </fill>
    <fill>
      <patternFill patternType="solid">
        <fgColor theme="0"/>
        <bgColor rgb="FFE8E8E8"/>
      </patternFill>
    </fill>
    <fill>
      <patternFill patternType="solid">
        <fgColor rgb="FFE0E8F0"/>
        <bgColor indexed="64"/>
      </patternFill>
    </fill>
    <fill>
      <patternFill patternType="solid">
        <fgColor rgb="FF002B49"/>
        <bgColor rgb="FF153D64"/>
      </patternFill>
    </fill>
    <fill>
      <patternFill patternType="solid">
        <fgColor theme="6" tint="0.79998168889431442"/>
        <bgColor indexed="64"/>
      </patternFill>
    </fill>
    <fill>
      <patternFill patternType="solid">
        <fgColor theme="0" tint="-4.9989318521683403E-2"/>
        <bgColor indexed="64"/>
      </patternFill>
    </fill>
  </fills>
  <borders count="50">
    <border>
      <left/>
      <right/>
      <top/>
      <bottom/>
      <diagonal/>
    </border>
    <border>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right/>
      <top style="dotted">
        <color indexed="64"/>
      </top>
      <bottom style="dotted">
        <color indexed="64"/>
      </bottom>
      <diagonal/>
    </border>
    <border>
      <left/>
      <right/>
      <top style="thin">
        <color indexed="64"/>
      </top>
      <bottom style="thin">
        <color indexed="64"/>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right/>
      <top/>
      <bottom style="thin">
        <color theme="9" tint="0.39997558519241921"/>
      </bottom>
      <diagonal/>
    </border>
    <border>
      <left/>
      <right/>
      <top style="thin">
        <color theme="1"/>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theme="1" tint="0.34998626667073579"/>
      </left>
      <right style="dotted">
        <color theme="1" tint="0.34998626667073579"/>
      </right>
      <top style="dotted">
        <color theme="1" tint="0.34998626667073579"/>
      </top>
      <bottom/>
      <diagonal/>
    </border>
    <border>
      <left style="dotted">
        <color theme="1" tint="0.34998626667073579"/>
      </left>
      <right style="dotted">
        <color theme="1" tint="0.34998626667073579"/>
      </right>
      <top style="dotted">
        <color theme="1" tint="0.34998626667073579"/>
      </top>
      <bottom style="dotted">
        <color theme="1" tint="0.34998626667073579"/>
      </bottom>
      <diagonal/>
    </border>
    <border>
      <left style="dotted">
        <color theme="1" tint="0.34998626667073579"/>
      </left>
      <right/>
      <top style="dotted">
        <color theme="1" tint="0.34998626667073579"/>
      </top>
      <bottom style="dotted">
        <color theme="1" tint="0.34998626667073579"/>
      </bottom>
      <diagonal/>
    </border>
    <border>
      <left style="dotted">
        <color indexed="64"/>
      </left>
      <right/>
      <top style="dotted">
        <color indexed="64"/>
      </top>
      <bottom/>
      <diagonal/>
    </border>
    <border>
      <left style="dotted">
        <color indexed="64"/>
      </left>
      <right/>
      <top/>
      <bottom/>
      <diagonal/>
    </border>
    <border>
      <left style="dotted">
        <color theme="1" tint="0.34998626667073579"/>
      </left>
      <right style="dotted">
        <color theme="1" tint="0.34998626667073579"/>
      </right>
      <top/>
      <bottom/>
      <diagonal/>
    </border>
    <border>
      <left style="dotted">
        <color theme="1" tint="0.34998626667073579"/>
      </left>
      <right style="dotted">
        <color theme="1" tint="0.34998626667073579"/>
      </right>
      <top/>
      <bottom style="dotted">
        <color indexed="64"/>
      </bottom>
      <diagonal/>
    </border>
    <border>
      <left style="dotted">
        <color theme="1" tint="0.34998626667073579"/>
      </left>
      <right style="dotted">
        <color theme="1" tint="0.34998626667073579"/>
      </right>
      <top style="dotted">
        <color indexed="64"/>
      </top>
      <bottom/>
      <diagonal/>
    </border>
    <border>
      <left style="dotted">
        <color indexed="64"/>
      </left>
      <right/>
      <top/>
      <bottom style="dotted">
        <color indexed="64"/>
      </bottom>
      <diagonal/>
    </border>
    <border>
      <left style="dotted">
        <color theme="1" tint="0.34998626667073579"/>
      </left>
      <right style="dotted">
        <color theme="1" tint="0.34998626667073579"/>
      </right>
      <top/>
      <bottom style="dotted">
        <color theme="1" tint="0.34998626667073579"/>
      </bottom>
      <diagonal/>
    </border>
    <border>
      <left style="medium">
        <color indexed="64"/>
      </left>
      <right style="dotted">
        <color theme="1" tint="0.34998626667073579"/>
      </right>
      <top style="medium">
        <color indexed="64"/>
      </top>
      <bottom style="dotted">
        <color theme="1" tint="0.34998626667073579"/>
      </bottom>
      <diagonal/>
    </border>
    <border>
      <left style="dotted">
        <color theme="1" tint="0.34998626667073579"/>
      </left>
      <right style="medium">
        <color indexed="64"/>
      </right>
      <top style="medium">
        <color indexed="64"/>
      </top>
      <bottom style="dotted">
        <color theme="1" tint="0.34998626667073579"/>
      </bottom>
      <diagonal/>
    </border>
    <border>
      <left style="medium">
        <color indexed="64"/>
      </left>
      <right style="dotted">
        <color theme="1" tint="0.34998626667073579"/>
      </right>
      <top style="dotted">
        <color theme="1" tint="0.34998626667073579"/>
      </top>
      <bottom style="dotted">
        <color theme="1" tint="0.34998626667073579"/>
      </bottom>
      <diagonal/>
    </border>
    <border>
      <left style="dotted">
        <color theme="1" tint="0.34998626667073579"/>
      </left>
      <right style="medium">
        <color indexed="64"/>
      </right>
      <top style="dotted">
        <color theme="1" tint="0.34998626667073579"/>
      </top>
      <bottom style="dotted">
        <color theme="1" tint="0.34998626667073579"/>
      </bottom>
      <diagonal/>
    </border>
    <border>
      <left style="dotted">
        <color theme="1" tint="0.34998626667073579"/>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theme="1" tint="0.34998626667073579"/>
      </right>
      <top style="medium">
        <color indexed="64"/>
      </top>
      <bottom style="medium">
        <color indexed="64"/>
      </bottom>
      <diagonal/>
    </border>
    <border>
      <left style="dotted">
        <color theme="1" tint="0.34998626667073579"/>
      </left>
      <right style="medium">
        <color indexed="64"/>
      </right>
      <top style="medium">
        <color indexed="64"/>
      </top>
      <bottom style="medium">
        <color indexed="64"/>
      </bottom>
      <diagonal/>
    </border>
    <border>
      <left style="dotted">
        <color theme="1" tint="0.34998626667073579"/>
      </left>
      <right style="dotted">
        <color indexed="64"/>
      </right>
      <top style="dotted">
        <color theme="1" tint="0.34998626667073579"/>
      </top>
      <bottom style="dotted">
        <color theme="1" tint="0.34998626667073579"/>
      </bottom>
      <diagonal/>
    </border>
    <border>
      <left style="dotted">
        <color indexed="64"/>
      </left>
      <right style="dotted">
        <color indexed="64"/>
      </right>
      <top style="dotted">
        <color indexed="64"/>
      </top>
      <bottom style="dotted">
        <color indexed="64"/>
      </bottom>
      <diagonal/>
    </border>
    <border>
      <left style="dotted">
        <color theme="1" tint="0.34998626667073579"/>
      </left>
      <right style="dotted">
        <color indexed="64"/>
      </right>
      <top style="dotted">
        <color indexed="64"/>
      </top>
      <bottom style="dotted">
        <color indexed="64"/>
      </bottom>
      <diagonal/>
    </border>
    <border>
      <left/>
      <right/>
      <top style="medium">
        <color indexed="64"/>
      </top>
      <bottom/>
      <diagonal/>
    </border>
    <border>
      <left/>
      <right/>
      <top/>
      <bottom style="thin">
        <color rgb="FFBFBFBF"/>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theme="1" tint="0.34998626667073579"/>
      </left>
      <right/>
      <top style="dotted">
        <color theme="1" tint="0.34998626667073579"/>
      </top>
      <bottom/>
      <diagonal/>
    </border>
    <border>
      <left style="dotted">
        <color theme="1" tint="0.34998626667073579"/>
      </left>
      <right/>
      <top/>
      <bottom style="dotted">
        <color indexed="64"/>
      </bottom>
      <diagonal/>
    </border>
  </borders>
  <cellStyleXfs count="27">
    <xf numFmtId="0" fontId="0" fillId="0" borderId="0"/>
    <xf numFmtId="9" fontId="6" fillId="0" borderId="0" applyFont="0" applyFill="0" applyBorder="0" applyAlignment="0" applyProtection="0"/>
    <xf numFmtId="0" fontId="5" fillId="0" borderId="0"/>
    <xf numFmtId="0" fontId="15" fillId="0" borderId="0" applyNumberFormat="0" applyFill="0" applyBorder="0" applyAlignment="0" applyProtection="0"/>
    <xf numFmtId="164" fontId="6" fillId="0" borderId="0" applyFont="0" applyFill="0" applyBorder="0" applyAlignment="0" applyProtection="0"/>
    <xf numFmtId="0" fontId="6" fillId="0" borderId="0"/>
    <xf numFmtId="0" fontId="9" fillId="10" borderId="0" applyNumberFormat="0" applyBorder="0" applyAlignment="0" applyProtection="0"/>
    <xf numFmtId="9" fontId="25" fillId="11" borderId="0" applyNumberFormat="0" applyBorder="0" applyAlignment="0">
      <alignment vertical="center"/>
    </xf>
    <xf numFmtId="43"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9" fontId="6"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3" fillId="0" borderId="0"/>
    <xf numFmtId="0" fontId="30"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0" fontId="6" fillId="0" borderId="0"/>
    <xf numFmtId="9" fontId="61" fillId="23" borderId="0" applyNumberFormat="0" applyBorder="0" applyAlignment="0">
      <alignment vertical="center"/>
    </xf>
    <xf numFmtId="0" fontId="17" fillId="0" borderId="0"/>
    <xf numFmtId="0" fontId="69" fillId="28" borderId="45" applyNumberFormat="0" applyAlignment="0" applyProtection="0"/>
  </cellStyleXfs>
  <cellXfs count="572">
    <xf numFmtId="0" fontId="0" fillId="0" borderId="0" xfId="0"/>
    <xf numFmtId="0" fontId="7" fillId="2" borderId="0" xfId="0" applyFont="1" applyFill="1" applyAlignment="1">
      <alignment horizontal="center" vertical="center" wrapText="1"/>
    </xf>
    <xf numFmtId="0" fontId="8" fillId="3" borderId="0" xfId="0" applyFont="1" applyFill="1" applyAlignment="1">
      <alignment horizontal="left" vertical="center"/>
    </xf>
    <xf numFmtId="0" fontId="7" fillId="2" borderId="0" xfId="0" applyFont="1" applyFill="1" applyAlignment="1">
      <alignment horizontal="left" vertical="center"/>
    </xf>
    <xf numFmtId="0" fontId="8" fillId="0" borderId="0" xfId="0" applyFont="1" applyAlignment="1">
      <alignment horizontal="center" vertical="center"/>
    </xf>
    <xf numFmtId="9" fontId="9" fillId="3" borderId="1" xfId="0" applyNumberFormat="1" applyFont="1" applyFill="1" applyBorder="1" applyAlignment="1">
      <alignment horizontal="center" vertical="center" wrapText="1"/>
    </xf>
    <xf numFmtId="17" fontId="9" fillId="3" borderId="1" xfId="0" applyNumberFormat="1" applyFont="1" applyFill="1" applyBorder="1" applyAlignment="1">
      <alignment horizontal="center" vertical="center" wrapText="1"/>
    </xf>
    <xf numFmtId="17" fontId="9" fillId="3" borderId="2" xfId="0" applyNumberFormat="1" applyFont="1" applyFill="1" applyBorder="1" applyAlignment="1">
      <alignment horizontal="center" vertical="center" wrapText="1"/>
    </xf>
    <xf numFmtId="1" fontId="9" fillId="3" borderId="3"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0" fontId="10" fillId="0" borderId="4" xfId="0" applyFont="1" applyBorder="1" applyAlignment="1">
      <alignment horizontal="center" vertical="center"/>
    </xf>
    <xf numFmtId="0" fontId="10" fillId="0" borderId="0" xfId="0" applyFont="1"/>
    <xf numFmtId="9" fontId="10" fillId="0" borderId="0" xfId="0" applyNumberFormat="1" applyFont="1"/>
    <xf numFmtId="0" fontId="14" fillId="0" borderId="0" xfId="0" applyFont="1" applyAlignment="1">
      <alignment horizontal="center"/>
    </xf>
    <xf numFmtId="1" fontId="10" fillId="0" borderId="0" xfId="0" applyNumberFormat="1" applyFont="1"/>
    <xf numFmtId="0" fontId="15" fillId="0" borderId="0" xfId="3"/>
    <xf numFmtId="0" fontId="16" fillId="0" borderId="0" xfId="0" applyFont="1"/>
    <xf numFmtId="164" fontId="0" fillId="0" borderId="0" xfId="4" applyFont="1"/>
    <xf numFmtId="0" fontId="17" fillId="0" borderId="0" xfId="0" applyFont="1"/>
    <xf numFmtId="0" fontId="14" fillId="0" borderId="0" xfId="0" applyFont="1"/>
    <xf numFmtId="0" fontId="9" fillId="7" borderId="0" xfId="0" applyFont="1" applyFill="1"/>
    <xf numFmtId="164" fontId="10" fillId="0" borderId="0" xfId="4" applyFont="1"/>
    <xf numFmtId="0" fontId="9" fillId="7" borderId="0" xfId="0" applyFont="1" applyFill="1" applyAlignment="1">
      <alignment horizontal="center"/>
    </xf>
    <xf numFmtId="0" fontId="10" fillId="0" borderId="0" xfId="0" applyFont="1" applyAlignment="1">
      <alignment horizontal="center"/>
    </xf>
    <xf numFmtId="164" fontId="10" fillId="0" borderId="0" xfId="4" applyFont="1" applyAlignment="1">
      <alignment horizontal="center"/>
    </xf>
    <xf numFmtId="0" fontId="10" fillId="0" borderId="0" xfId="4" applyNumberFormat="1" applyFont="1" applyAlignment="1">
      <alignment horizontal="center"/>
    </xf>
    <xf numFmtId="164" fontId="10" fillId="0" borderId="0" xfId="4" applyFont="1" applyAlignment="1"/>
    <xf numFmtId="0" fontId="10" fillId="0" borderId="0" xfId="0" applyFont="1" applyAlignment="1">
      <alignment horizontal="left" wrapText="1"/>
    </xf>
    <xf numFmtId="0" fontId="10" fillId="0" borderId="0" xfId="0" applyFont="1" applyAlignment="1">
      <alignment horizontal="left"/>
    </xf>
    <xf numFmtId="0" fontId="18" fillId="0" borderId="0" xfId="0" applyFont="1" applyAlignment="1">
      <alignment horizontal="left" wrapText="1"/>
    </xf>
    <xf numFmtId="164" fontId="10" fillId="0" borderId="0" xfId="0" applyNumberFormat="1" applyFont="1"/>
    <xf numFmtId="0" fontId="0" fillId="0" borderId="5" xfId="0" applyBorder="1"/>
    <xf numFmtId="0" fontId="14" fillId="0" borderId="5" xfId="0" applyFont="1" applyBorder="1"/>
    <xf numFmtId="0" fontId="10" fillId="0" borderId="5" xfId="0" applyFont="1" applyBorder="1"/>
    <xf numFmtId="0" fontId="17" fillId="0" borderId="5" xfId="0" applyFont="1" applyBorder="1"/>
    <xf numFmtId="164" fontId="14" fillId="0" borderId="0" xfId="4" applyFont="1"/>
    <xf numFmtId="164" fontId="14" fillId="0" borderId="0" xfId="4" applyFont="1" applyAlignment="1"/>
    <xf numFmtId="0" fontId="10" fillId="0" borderId="0" xfId="0" applyFont="1" applyAlignment="1">
      <alignment horizontal="left" indent="2"/>
    </xf>
    <xf numFmtId="0" fontId="10" fillId="8" borderId="0" xfId="0" applyFont="1" applyFill="1"/>
    <xf numFmtId="164" fontId="14" fillId="0" borderId="0" xfId="0" applyNumberFormat="1" applyFont="1"/>
    <xf numFmtId="0" fontId="14" fillId="0" borderId="0" xfId="0" applyFont="1" applyAlignment="1">
      <alignment horizontal="left" indent="2"/>
    </xf>
    <xf numFmtId="164" fontId="14" fillId="8" borderId="0" xfId="4" applyFont="1" applyFill="1"/>
    <xf numFmtId="169" fontId="10" fillId="0" borderId="0" xfId="4" applyNumberFormat="1" applyFont="1"/>
    <xf numFmtId="0" fontId="7" fillId="2" borderId="0" xfId="5" applyFont="1" applyFill="1" applyAlignment="1">
      <alignment horizontal="center" vertical="center" wrapText="1"/>
    </xf>
    <xf numFmtId="0" fontId="8" fillId="3" borderId="0" xfId="5" applyFont="1" applyFill="1" applyAlignment="1">
      <alignment horizontal="left" vertical="center"/>
    </xf>
    <xf numFmtId="0" fontId="7" fillId="2" borderId="0" xfId="5" applyFont="1" applyFill="1" applyAlignment="1">
      <alignment horizontal="center" vertical="center"/>
    </xf>
    <xf numFmtId="0" fontId="7" fillId="2" borderId="0" xfId="5" applyFont="1" applyFill="1" applyAlignment="1">
      <alignment horizontal="left" vertical="center"/>
    </xf>
    <xf numFmtId="0" fontId="8" fillId="0" borderId="0" xfId="5" applyFont="1" applyAlignment="1">
      <alignment horizontal="center" vertical="center"/>
    </xf>
    <xf numFmtId="9" fontId="9" fillId="3" borderId="1" xfId="5" applyNumberFormat="1" applyFont="1" applyFill="1" applyBorder="1" applyAlignment="1">
      <alignment horizontal="center" vertical="center" wrapText="1"/>
    </xf>
    <xf numFmtId="17" fontId="9" fillId="3" borderId="1" xfId="5" applyNumberFormat="1" applyFont="1" applyFill="1" applyBorder="1" applyAlignment="1">
      <alignment horizontal="center" vertical="center" wrapText="1"/>
    </xf>
    <xf numFmtId="17" fontId="9" fillId="3" borderId="2" xfId="5" applyNumberFormat="1" applyFont="1" applyFill="1" applyBorder="1" applyAlignment="1">
      <alignment horizontal="center" vertical="center" wrapText="1"/>
    </xf>
    <xf numFmtId="1" fontId="9" fillId="3" borderId="3" xfId="5" applyNumberFormat="1" applyFont="1" applyFill="1" applyBorder="1" applyAlignment="1">
      <alignment horizontal="center" vertical="center" wrapText="1"/>
    </xf>
    <xf numFmtId="1" fontId="9" fillId="3" borderId="4" xfId="5" applyNumberFormat="1" applyFont="1" applyFill="1" applyBorder="1" applyAlignment="1">
      <alignment horizontal="center" vertical="center" wrapText="1"/>
    </xf>
    <xf numFmtId="0" fontId="10" fillId="0" borderId="4" xfId="5" applyFont="1" applyBorder="1" applyAlignment="1">
      <alignment horizontal="center" vertical="center"/>
    </xf>
    <xf numFmtId="0" fontId="20" fillId="2" borderId="0" xfId="0" applyFont="1" applyFill="1" applyAlignment="1">
      <alignment horizontal="center" vertical="center" wrapText="1"/>
    </xf>
    <xf numFmtId="0" fontId="10" fillId="3" borderId="0" xfId="0" applyFont="1" applyFill="1" applyAlignment="1">
      <alignment horizontal="left" vertical="center"/>
    </xf>
    <xf numFmtId="0" fontId="21" fillId="2" borderId="0" xfId="0" applyFont="1" applyFill="1" applyAlignment="1">
      <alignment horizontal="left" vertical="center"/>
    </xf>
    <xf numFmtId="0" fontId="20" fillId="2" borderId="0" xfId="0" applyFont="1" applyFill="1" applyAlignment="1">
      <alignment horizontal="left" vertical="center"/>
    </xf>
    <xf numFmtId="0" fontId="10" fillId="0" borderId="0" xfId="0" applyFont="1" applyAlignment="1">
      <alignment horizontal="center" vertical="center"/>
    </xf>
    <xf numFmtId="0" fontId="12" fillId="0" borderId="6" xfId="0" applyFont="1" applyBorder="1"/>
    <xf numFmtId="0" fontId="10" fillId="0" borderId="6" xfId="0" applyFont="1" applyBorder="1"/>
    <xf numFmtId="0" fontId="13" fillId="0" borderId="0" xfId="0" applyFont="1" applyAlignment="1">
      <alignment horizontal="left" indent="2"/>
    </xf>
    <xf numFmtId="173" fontId="13" fillId="5" borderId="0" xfId="4" applyNumberFormat="1" applyFont="1" applyFill="1" applyProtection="1">
      <protection locked="0"/>
    </xf>
    <xf numFmtId="0" fontId="10" fillId="9" borderId="0" xfId="0" applyFont="1" applyFill="1"/>
    <xf numFmtId="0" fontId="0" fillId="8" borderId="0" xfId="0" applyFill="1"/>
    <xf numFmtId="173" fontId="23" fillId="5" borderId="0" xfId="4" applyNumberFormat="1" applyFont="1" applyFill="1"/>
    <xf numFmtId="43" fontId="10" fillId="0" borderId="6" xfId="0" applyNumberFormat="1" applyFont="1" applyBorder="1"/>
    <xf numFmtId="0" fontId="23" fillId="0" borderId="0" xfId="0" applyFont="1" applyAlignment="1">
      <alignment horizontal="left" indent="2"/>
    </xf>
    <xf numFmtId="43" fontId="13" fillId="5" borderId="0" xfId="4" applyNumberFormat="1" applyFont="1" applyFill="1" applyProtection="1">
      <protection locked="0"/>
    </xf>
    <xf numFmtId="0" fontId="9" fillId="10" borderId="0" xfId="6"/>
    <xf numFmtId="14" fontId="9" fillId="10" borderId="0" xfId="6" applyNumberFormat="1"/>
    <xf numFmtId="0" fontId="25" fillId="11" borderId="0" xfId="7" applyNumberFormat="1" applyAlignment="1">
      <alignment horizontal="center"/>
    </xf>
    <xf numFmtId="175" fontId="25" fillId="11" borderId="0" xfId="8" applyNumberFormat="1" applyFont="1" applyFill="1" applyAlignment="1">
      <alignment horizontal="center"/>
    </xf>
    <xf numFmtId="10" fontId="26" fillId="5" borderId="0" xfId="0" applyNumberFormat="1" applyFont="1" applyFill="1" applyAlignment="1">
      <alignment horizontal="center"/>
    </xf>
    <xf numFmtId="0" fontId="26" fillId="5" borderId="0" xfId="0" applyFont="1" applyFill="1" applyAlignment="1">
      <alignment horizontal="center"/>
    </xf>
    <xf numFmtId="0" fontId="0" fillId="0" borderId="0" xfId="0" applyAlignment="1">
      <alignment horizontal="center"/>
    </xf>
    <xf numFmtId="10" fontId="0" fillId="0" borderId="0" xfId="9" applyNumberFormat="1" applyFont="1" applyAlignment="1">
      <alignment horizontal="center"/>
    </xf>
    <xf numFmtId="10" fontId="0" fillId="0" borderId="0" xfId="0" applyNumberFormat="1" applyAlignment="1">
      <alignment horizontal="center"/>
    </xf>
    <xf numFmtId="176" fontId="0" fillId="0" borderId="0" xfId="0" applyNumberFormat="1" applyAlignment="1">
      <alignment horizontal="center" vertical="center"/>
    </xf>
    <xf numFmtId="167" fontId="0" fillId="0" borderId="0" xfId="0" applyNumberFormat="1" applyAlignment="1">
      <alignment horizontal="center"/>
    </xf>
    <xf numFmtId="166" fontId="0" fillId="0" borderId="0" xfId="9" applyNumberFormat="1" applyFont="1" applyAlignment="1">
      <alignment horizontal="center" vertical="center"/>
    </xf>
    <xf numFmtId="0" fontId="0" fillId="0" borderId="0" xfId="0" applyAlignment="1">
      <alignment vertical="center"/>
    </xf>
    <xf numFmtId="10" fontId="0" fillId="0" borderId="0" xfId="0" applyNumberFormat="1" applyAlignment="1">
      <alignment vertical="center"/>
    </xf>
    <xf numFmtId="14" fontId="25" fillId="11" borderId="0" xfId="7" applyNumberFormat="1" applyAlignment="1"/>
    <xf numFmtId="166" fontId="0" fillId="0" borderId="0" xfId="9" applyNumberFormat="1" applyFont="1" applyAlignment="1">
      <alignment vertical="center"/>
    </xf>
    <xf numFmtId="9" fontId="0" fillId="0" borderId="0" xfId="9" applyFont="1" applyAlignment="1">
      <alignment vertical="center"/>
    </xf>
    <xf numFmtId="169" fontId="0" fillId="0" borderId="0" xfId="4" applyNumberFormat="1" applyFont="1"/>
    <xf numFmtId="169" fontId="0" fillId="0" borderId="0" xfId="0" applyNumberFormat="1"/>
    <xf numFmtId="0" fontId="0" fillId="0" borderId="0" xfId="10" applyFont="1"/>
    <xf numFmtId="0" fontId="27" fillId="0" borderId="0" xfId="10" applyFont="1" applyAlignment="1">
      <alignment horizontal="left" indent="1"/>
    </xf>
    <xf numFmtId="0" fontId="0" fillId="6" borderId="0" xfId="10" applyFont="1" applyFill="1"/>
    <xf numFmtId="10" fontId="0" fillId="12" borderId="0" xfId="10" applyNumberFormat="1" applyFont="1" applyFill="1"/>
    <xf numFmtId="177" fontId="0" fillId="0" borderId="0" xfId="10" applyNumberFormat="1" applyFont="1"/>
    <xf numFmtId="10" fontId="0" fillId="0" borderId="0" xfId="10" applyNumberFormat="1" applyFont="1"/>
    <xf numFmtId="10" fontId="0" fillId="6" borderId="0" xfId="10" applyNumberFormat="1" applyFont="1" applyFill="1"/>
    <xf numFmtId="0" fontId="0" fillId="0" borderId="0" xfId="10" applyFont="1" applyAlignment="1">
      <alignment horizontal="left" vertical="center"/>
    </xf>
    <xf numFmtId="0" fontId="0" fillId="0" borderId="0" xfId="10" applyFont="1" applyAlignment="1">
      <alignment horizontal="left"/>
    </xf>
    <xf numFmtId="0" fontId="0" fillId="6" borderId="0" xfId="10" applyFont="1" applyFill="1" applyAlignment="1">
      <alignment horizontal="left" vertical="center"/>
    </xf>
    <xf numFmtId="10" fontId="0" fillId="0" borderId="0" xfId="9" applyNumberFormat="1" applyFont="1"/>
    <xf numFmtId="10" fontId="0" fillId="6" borderId="0" xfId="9" applyNumberFormat="1" applyFont="1" applyFill="1"/>
    <xf numFmtId="174" fontId="0" fillId="12" borderId="0" xfId="9" applyNumberFormat="1" applyFont="1" applyFill="1"/>
    <xf numFmtId="174" fontId="0" fillId="0" borderId="0" xfId="9" applyNumberFormat="1" applyFont="1"/>
    <xf numFmtId="0" fontId="28" fillId="16" borderId="6" xfId="10" applyFont="1" applyFill="1" applyBorder="1" applyAlignment="1">
      <alignment vertical="center"/>
    </xf>
    <xf numFmtId="0" fontId="28" fillId="16" borderId="6" xfId="10" applyFont="1" applyFill="1" applyBorder="1" applyAlignment="1">
      <alignment horizontal="center" vertical="center"/>
    </xf>
    <xf numFmtId="0" fontId="28" fillId="13" borderId="6" xfId="10" applyFont="1" applyFill="1" applyBorder="1" applyAlignment="1">
      <alignment horizontal="center" vertical="center"/>
    </xf>
    <xf numFmtId="0" fontId="28" fillId="14" borderId="6" xfId="10" applyFont="1" applyFill="1" applyBorder="1" applyAlignment="1">
      <alignment horizontal="center" vertical="center"/>
    </xf>
    <xf numFmtId="0" fontId="28" fillId="5" borderId="6" xfId="10" applyFont="1" applyFill="1" applyBorder="1" applyAlignment="1">
      <alignment horizontal="center" vertical="center"/>
    </xf>
    <xf numFmtId="0" fontId="28" fillId="15" borderId="6" xfId="10" applyFont="1" applyFill="1" applyBorder="1" applyAlignment="1">
      <alignment horizontal="center" vertical="center"/>
    </xf>
    <xf numFmtId="0" fontId="28" fillId="17" borderId="6" xfId="10" applyFont="1" applyFill="1" applyBorder="1" applyAlignment="1">
      <alignment vertical="center"/>
    </xf>
    <xf numFmtId="0" fontId="0" fillId="0" borderId="8" xfId="10" applyFont="1" applyBorder="1"/>
    <xf numFmtId="0" fontId="0" fillId="12" borderId="8" xfId="10" applyFont="1" applyFill="1" applyBorder="1" applyAlignment="1">
      <alignment horizontal="center" vertical="center"/>
    </xf>
    <xf numFmtId="178" fontId="0" fillId="12" borderId="8" xfId="10" applyNumberFormat="1" applyFont="1" applyFill="1" applyBorder="1"/>
    <xf numFmtId="178" fontId="0" fillId="0" borderId="8" xfId="10" applyNumberFormat="1" applyFont="1" applyBorder="1"/>
    <xf numFmtId="2" fontId="0" fillId="0" borderId="8" xfId="9" applyNumberFormat="1" applyFont="1" applyBorder="1"/>
    <xf numFmtId="178" fontId="0" fillId="0" borderId="0" xfId="10" applyNumberFormat="1" applyFont="1"/>
    <xf numFmtId="0" fontId="0" fillId="0" borderId="9" xfId="10" applyFont="1" applyBorder="1"/>
    <xf numFmtId="0" fontId="0" fillId="12" borderId="9" xfId="10" applyFont="1" applyFill="1" applyBorder="1" applyAlignment="1">
      <alignment horizontal="center" vertical="center"/>
    </xf>
    <xf numFmtId="3" fontId="0" fillId="0" borderId="9" xfId="10" applyNumberFormat="1" applyFont="1" applyBorder="1"/>
    <xf numFmtId="2" fontId="0" fillId="0" borderId="0" xfId="10" applyNumberFormat="1" applyFont="1"/>
    <xf numFmtId="44" fontId="0" fillId="0" borderId="0" xfId="10" applyNumberFormat="1" applyFont="1"/>
    <xf numFmtId="1" fontId="0" fillId="12" borderId="9" xfId="10" applyNumberFormat="1" applyFont="1" applyFill="1" applyBorder="1" applyAlignment="1">
      <alignment horizontal="center" vertical="center"/>
    </xf>
    <xf numFmtId="166" fontId="0" fillId="0" borderId="0" xfId="9" applyNumberFormat="1" applyFont="1"/>
    <xf numFmtId="0" fontId="28" fillId="0" borderId="10" xfId="10" applyFont="1" applyBorder="1"/>
    <xf numFmtId="0" fontId="28" fillId="0" borderId="10" xfId="10" applyFont="1" applyBorder="1" applyAlignment="1">
      <alignment horizontal="center"/>
    </xf>
    <xf numFmtId="3" fontId="28" fillId="0" borderId="10" xfId="10" applyNumberFormat="1" applyFont="1" applyBorder="1"/>
    <xf numFmtId="174" fontId="0" fillId="0" borderId="0" xfId="10" applyNumberFormat="1" applyFont="1"/>
    <xf numFmtId="174" fontId="28" fillId="0" borderId="0" xfId="10" applyNumberFormat="1" applyFont="1"/>
    <xf numFmtId="0" fontId="28" fillId="0" borderId="0" xfId="10" applyFont="1"/>
    <xf numFmtId="0" fontId="13" fillId="9" borderId="0" xfId="0" applyFont="1" applyFill="1" applyAlignment="1">
      <alignment horizontal="left" indent="2"/>
    </xf>
    <xf numFmtId="0" fontId="29" fillId="0" borderId="0" xfId="0" applyFont="1"/>
    <xf numFmtId="9" fontId="9" fillId="9" borderId="0" xfId="5" applyNumberFormat="1" applyFont="1" applyFill="1" applyAlignment="1">
      <alignment horizontal="center" vertical="center" wrapText="1"/>
    </xf>
    <xf numFmtId="17" fontId="9" fillId="9" borderId="0" xfId="5" applyNumberFormat="1" applyFont="1" applyFill="1" applyAlignment="1">
      <alignment horizontal="center" vertical="center" wrapText="1"/>
    </xf>
    <xf numFmtId="1" fontId="9" fillId="9" borderId="0" xfId="5" applyNumberFormat="1" applyFont="1" applyFill="1" applyAlignment="1">
      <alignment horizontal="center" vertical="center" wrapText="1"/>
    </xf>
    <xf numFmtId="0" fontId="10" fillId="9" borderId="0" xfId="5" applyFont="1" applyFill="1" applyAlignment="1">
      <alignment horizontal="center" vertical="center"/>
    </xf>
    <xf numFmtId="0" fontId="0" fillId="9" borderId="0" xfId="0" applyFill="1"/>
    <xf numFmtId="0" fontId="28" fillId="16" borderId="0" xfId="10" applyFont="1" applyFill="1" applyAlignment="1">
      <alignment horizontal="center" vertical="center"/>
    </xf>
    <xf numFmtId="169" fontId="10" fillId="0" borderId="0" xfId="0" applyNumberFormat="1" applyFont="1"/>
    <xf numFmtId="0" fontId="13" fillId="8" borderId="0" xfId="0" applyFont="1" applyFill="1" applyAlignment="1">
      <alignment horizontal="left" indent="2"/>
    </xf>
    <xf numFmtId="0" fontId="28" fillId="0" borderId="7" xfId="5" applyFont="1" applyBorder="1" applyAlignment="1">
      <alignment horizontal="left" vertical="center"/>
    </xf>
    <xf numFmtId="0" fontId="9" fillId="3" borderId="11" xfId="5" applyFont="1" applyFill="1" applyBorder="1" applyAlignment="1">
      <alignment horizontal="center" vertical="center" wrapText="1"/>
    </xf>
    <xf numFmtId="0" fontId="6" fillId="0" borderId="0" xfId="5"/>
    <xf numFmtId="0" fontId="28" fillId="0" borderId="7" xfId="5" applyFont="1" applyBorder="1" applyAlignment="1">
      <alignment horizontal="center" vertical="center" wrapText="1"/>
    </xf>
    <xf numFmtId="3" fontId="28" fillId="0" borderId="7" xfId="5" applyNumberFormat="1" applyFont="1" applyBorder="1" applyAlignment="1">
      <alignment horizontal="center" vertical="center"/>
    </xf>
    <xf numFmtId="3" fontId="28" fillId="0" borderId="7" xfId="5" applyNumberFormat="1" applyFont="1" applyBorder="1" applyAlignment="1">
      <alignment horizontal="center"/>
    </xf>
    <xf numFmtId="0" fontId="6" fillId="0" borderId="0" xfId="5" applyAlignment="1">
      <alignment horizontal="center"/>
    </xf>
    <xf numFmtId="0" fontId="28" fillId="0" borderId="7" xfId="5" applyFont="1" applyBorder="1" applyAlignment="1">
      <alignment horizontal="left" vertical="center" indent="1"/>
    </xf>
    <xf numFmtId="0" fontId="28" fillId="16" borderId="0" xfId="10" applyFont="1" applyFill="1" applyAlignment="1">
      <alignment vertical="center"/>
    </xf>
    <xf numFmtId="0" fontId="28" fillId="13" borderId="0" xfId="10" applyFont="1" applyFill="1" applyAlignment="1">
      <alignment horizontal="center" vertical="center"/>
    </xf>
    <xf numFmtId="0" fontId="28" fillId="14" borderId="0" xfId="10" applyFont="1" applyFill="1" applyAlignment="1">
      <alignment horizontal="center" vertical="center"/>
    </xf>
    <xf numFmtId="0" fontId="28" fillId="5" borderId="0" xfId="10" applyFont="1" applyFill="1" applyAlignment="1">
      <alignment horizontal="center" vertical="center"/>
    </xf>
    <xf numFmtId="0" fontId="28" fillId="15" borderId="0" xfId="10" applyFont="1" applyFill="1" applyAlignment="1">
      <alignment horizontal="center" vertical="center"/>
    </xf>
    <xf numFmtId="0" fontId="28" fillId="17" borderId="0" xfId="10" applyFont="1" applyFill="1" applyAlignment="1">
      <alignment vertical="center"/>
    </xf>
    <xf numFmtId="0" fontId="28" fillId="16" borderId="0" xfId="10" applyFont="1" applyFill="1" applyAlignment="1">
      <alignment horizontal="left" vertical="center" indent="1"/>
    </xf>
    <xf numFmtId="0" fontId="0" fillId="0" borderId="8" xfId="10" applyFont="1" applyBorder="1" applyAlignment="1">
      <alignment horizontal="left" indent="2"/>
    </xf>
    <xf numFmtId="0" fontId="0" fillId="0" borderId="9" xfId="10" applyFont="1" applyBorder="1" applyAlignment="1">
      <alignment horizontal="left" indent="2"/>
    </xf>
    <xf numFmtId="0" fontId="14" fillId="0" borderId="0" xfId="0" quotePrefix="1" applyFont="1"/>
    <xf numFmtId="0" fontId="14" fillId="0" borderId="0" xfId="0" quotePrefix="1" applyFont="1" applyAlignment="1">
      <alignment vertical="center"/>
    </xf>
    <xf numFmtId="0" fontId="28" fillId="0" borderId="0" xfId="0" applyFont="1"/>
    <xf numFmtId="0" fontId="14" fillId="0" borderId="0" xfId="5" applyFont="1" applyAlignment="1">
      <alignment horizontal="left" vertical="center"/>
    </xf>
    <xf numFmtId="164" fontId="0" fillId="0" borderId="0" xfId="0" applyNumberFormat="1"/>
    <xf numFmtId="0" fontId="11" fillId="18" borderId="7" xfId="0" applyFont="1" applyFill="1" applyBorder="1" applyAlignment="1">
      <alignment horizontal="center"/>
    </xf>
    <xf numFmtId="0" fontId="10" fillId="0" borderId="7" xfId="0" applyFont="1" applyBorder="1" applyAlignment="1">
      <alignment horizontal="center"/>
    </xf>
    <xf numFmtId="179" fontId="10" fillId="0" borderId="7" xfId="0" applyNumberFormat="1" applyFont="1" applyBorder="1" applyAlignment="1">
      <alignment horizontal="center"/>
    </xf>
    <xf numFmtId="186" fontId="10" fillId="0" borderId="7" xfId="0" applyNumberFormat="1" applyFont="1" applyBorder="1" applyAlignment="1">
      <alignment horizontal="center"/>
    </xf>
    <xf numFmtId="179" fontId="10" fillId="9" borderId="7" xfId="0" applyNumberFormat="1" applyFont="1" applyFill="1" applyBorder="1" applyAlignment="1">
      <alignment horizontal="center"/>
    </xf>
    <xf numFmtId="0" fontId="9" fillId="7" borderId="7" xfId="0" applyFont="1" applyFill="1" applyBorder="1"/>
    <xf numFmtId="167" fontId="0" fillId="0" borderId="0" xfId="0" applyNumberFormat="1"/>
    <xf numFmtId="2" fontId="0" fillId="0" borderId="0" xfId="0" applyNumberFormat="1"/>
    <xf numFmtId="0" fontId="28" fillId="0" borderId="0" xfId="0" applyFont="1" applyAlignment="1">
      <alignment wrapText="1"/>
    </xf>
    <xf numFmtId="0" fontId="0" fillId="0" borderId="0" xfId="0" applyAlignment="1">
      <alignment wrapText="1"/>
    </xf>
    <xf numFmtId="2" fontId="0" fillId="0" borderId="0" xfId="0" applyNumberFormat="1" applyAlignment="1">
      <alignment horizontal="center"/>
    </xf>
    <xf numFmtId="0" fontId="28" fillId="0" borderId="0" xfId="0" applyFont="1" applyAlignment="1">
      <alignment horizontal="center" wrapText="1"/>
    </xf>
    <xf numFmtId="0" fontId="10" fillId="0" borderId="0" xfId="5" applyFont="1" applyAlignment="1">
      <alignment horizontal="left" vertical="center"/>
    </xf>
    <xf numFmtId="0" fontId="22" fillId="9" borderId="0" xfId="0" applyFont="1" applyFill="1"/>
    <xf numFmtId="169" fontId="0" fillId="0" borderId="0" xfId="4" applyNumberFormat="1" applyFont="1" applyAlignment="1">
      <alignment horizontal="left" indent="2"/>
    </xf>
    <xf numFmtId="179" fontId="10" fillId="0" borderId="0" xfId="0" applyNumberFormat="1" applyFont="1" applyAlignment="1">
      <alignment horizontal="center"/>
    </xf>
    <xf numFmtId="165" fontId="10" fillId="0" borderId="0" xfId="0" applyNumberFormat="1" applyFont="1" applyAlignment="1">
      <alignment horizontal="center"/>
    </xf>
    <xf numFmtId="186" fontId="10" fillId="0" borderId="0" xfId="0" applyNumberFormat="1" applyFont="1" applyAlignment="1">
      <alignment horizontal="center"/>
    </xf>
    <xf numFmtId="179" fontId="10" fillId="9" borderId="0" xfId="0" applyNumberFormat="1" applyFont="1" applyFill="1" applyAlignment="1">
      <alignment horizontal="center"/>
    </xf>
    <xf numFmtId="0" fontId="22" fillId="9" borderId="0" xfId="0" applyFont="1" applyFill="1" applyAlignment="1">
      <alignment horizontal="left"/>
    </xf>
    <xf numFmtId="169" fontId="0" fillId="8" borderId="0" xfId="4" applyNumberFormat="1" applyFont="1" applyFill="1"/>
    <xf numFmtId="0" fontId="0" fillId="0" borderId="7" xfId="5" applyFont="1" applyBorder="1" applyAlignment="1">
      <alignment horizontal="center" vertical="center" wrapText="1"/>
    </xf>
    <xf numFmtId="0" fontId="0" fillId="0" borderId="7" xfId="5" applyFont="1" applyBorder="1" applyAlignment="1">
      <alignment horizontal="left" vertical="center" indent="1"/>
    </xf>
    <xf numFmtId="3" fontId="0" fillId="0" borderId="7" xfId="5" applyNumberFormat="1" applyFont="1" applyBorder="1" applyAlignment="1">
      <alignment horizontal="center" vertical="center"/>
    </xf>
    <xf numFmtId="0" fontId="0" fillId="0" borderId="7" xfId="5" applyFont="1" applyBorder="1" applyAlignment="1">
      <alignment horizontal="center" vertical="center"/>
    </xf>
    <xf numFmtId="4" fontId="0" fillId="0" borderId="7" xfId="5" applyNumberFormat="1" applyFont="1" applyBorder="1" applyAlignment="1">
      <alignment horizontal="center" vertical="center"/>
    </xf>
    <xf numFmtId="0" fontId="16" fillId="0" borderId="7" xfId="5" applyFont="1" applyBorder="1" applyAlignment="1">
      <alignment horizontal="center"/>
    </xf>
    <xf numFmtId="0" fontId="16" fillId="0" borderId="7" xfId="5" applyFont="1" applyBorder="1" applyAlignment="1">
      <alignment horizontal="center" vertical="center"/>
    </xf>
    <xf numFmtId="181" fontId="16" fillId="0" borderId="7" xfId="13" applyNumberFormat="1" applyFont="1" applyFill="1" applyBorder="1" applyAlignment="1">
      <alignment horizontal="center" wrapText="1"/>
    </xf>
    <xf numFmtId="3" fontId="16" fillId="0" borderId="7" xfId="5" applyNumberFormat="1" applyFont="1" applyBorder="1" applyAlignment="1">
      <alignment horizontal="center"/>
    </xf>
    <xf numFmtId="0" fontId="0" fillId="0" borderId="0" xfId="5" applyFont="1" applyAlignment="1">
      <alignment horizontal="center"/>
    </xf>
    <xf numFmtId="0" fontId="0" fillId="0" borderId="7" xfId="5" applyFont="1" applyBorder="1" applyAlignment="1">
      <alignment horizontal="left" vertical="center"/>
    </xf>
    <xf numFmtId="4" fontId="0" fillId="0" borderId="7" xfId="5" applyNumberFormat="1" applyFont="1" applyBorder="1" applyAlignment="1">
      <alignment horizontal="center"/>
    </xf>
    <xf numFmtId="0" fontId="0" fillId="0" borderId="7" xfId="5" applyFont="1" applyBorder="1"/>
    <xf numFmtId="183" fontId="0" fillId="0" borderId="7" xfId="13" applyNumberFormat="1" applyFont="1" applyBorder="1" applyAlignment="1">
      <alignment horizontal="center" wrapText="1"/>
    </xf>
    <xf numFmtId="3" fontId="0" fillId="0" borderId="7" xfId="5" applyNumberFormat="1" applyFont="1" applyBorder="1" applyAlignment="1">
      <alignment horizontal="center"/>
    </xf>
    <xf numFmtId="181" fontId="0" fillId="0" borderId="7" xfId="13" applyNumberFormat="1" applyFont="1" applyBorder="1" applyAlignment="1">
      <alignment horizontal="center" wrapText="1"/>
    </xf>
    <xf numFmtId="0" fontId="0" fillId="0" borderId="7" xfId="5" applyFont="1" applyBorder="1" applyAlignment="1">
      <alignment horizontal="center"/>
    </xf>
    <xf numFmtId="3" fontId="0" fillId="5" borderId="7" xfId="5" applyNumberFormat="1" applyFont="1" applyFill="1" applyBorder="1" applyAlignment="1">
      <alignment horizontal="center" vertical="center"/>
    </xf>
    <xf numFmtId="184" fontId="0" fillId="5" borderId="7" xfId="13" applyNumberFormat="1" applyFont="1" applyFill="1" applyBorder="1" applyAlignment="1">
      <alignment horizontal="center" wrapText="1"/>
    </xf>
    <xf numFmtId="0" fontId="0" fillId="5" borderId="7" xfId="5" applyFont="1" applyFill="1" applyBorder="1"/>
    <xf numFmtId="4" fontId="0" fillId="5" borderId="7" xfId="5" applyNumberFormat="1" applyFont="1" applyFill="1" applyBorder="1" applyAlignment="1">
      <alignment horizontal="center"/>
    </xf>
    <xf numFmtId="182" fontId="0" fillId="5" borderId="7" xfId="13" applyNumberFormat="1" applyFont="1" applyFill="1" applyBorder="1" applyAlignment="1">
      <alignment horizontal="center" wrapText="1"/>
    </xf>
    <xf numFmtId="185" fontId="0" fillId="5" borderId="7" xfId="13" applyNumberFormat="1" applyFont="1" applyFill="1" applyBorder="1" applyAlignment="1">
      <alignment horizontal="center" wrapText="1"/>
    </xf>
    <xf numFmtId="180" fontId="0" fillId="5" borderId="7" xfId="13" applyNumberFormat="1" applyFont="1" applyFill="1" applyBorder="1" applyAlignment="1">
      <alignment horizontal="center" wrapText="1"/>
    </xf>
    <xf numFmtId="171" fontId="31" fillId="3" borderId="1" xfId="0" applyNumberFormat="1" applyFont="1" applyFill="1" applyBorder="1" applyAlignment="1">
      <alignment horizontal="left" vertical="center" wrapText="1"/>
    </xf>
    <xf numFmtId="17" fontId="31" fillId="3" borderId="1" xfId="0" applyNumberFormat="1" applyFont="1" applyFill="1" applyBorder="1" applyAlignment="1">
      <alignment horizontal="center" vertical="center" wrapText="1"/>
    </xf>
    <xf numFmtId="17" fontId="31" fillId="3" borderId="2" xfId="0" applyNumberFormat="1" applyFont="1" applyFill="1" applyBorder="1" applyAlignment="1">
      <alignment horizontal="center" vertical="center" wrapText="1"/>
    </xf>
    <xf numFmtId="1" fontId="31" fillId="3" borderId="3" xfId="0" applyNumberFormat="1" applyFont="1" applyFill="1" applyBorder="1" applyAlignment="1">
      <alignment horizontal="center" vertical="center" wrapText="1"/>
    </xf>
    <xf numFmtId="1" fontId="31" fillId="3" borderId="4" xfId="0" applyNumberFormat="1" applyFont="1" applyFill="1" applyBorder="1" applyAlignment="1">
      <alignment horizontal="center" vertical="center" wrapText="1"/>
    </xf>
    <xf numFmtId="0" fontId="32" fillId="0" borderId="0" xfId="0" applyFont="1"/>
    <xf numFmtId="0" fontId="32" fillId="0" borderId="0" xfId="0" applyFont="1" applyAlignment="1">
      <alignment horizontal="left" indent="2"/>
    </xf>
    <xf numFmtId="0" fontId="32" fillId="0" borderId="0" xfId="0" applyFont="1" applyAlignment="1">
      <alignment horizontal="center"/>
    </xf>
    <xf numFmtId="173" fontId="32" fillId="0" borderId="0" xfId="0" applyNumberFormat="1" applyFont="1"/>
    <xf numFmtId="0" fontId="37" fillId="0" borderId="0" xfId="0" applyFont="1"/>
    <xf numFmtId="170" fontId="31" fillId="3" borderId="1" xfId="0" applyNumberFormat="1" applyFont="1" applyFill="1" applyBorder="1" applyAlignment="1">
      <alignment horizontal="right" vertical="center" wrapText="1"/>
    </xf>
    <xf numFmtId="0" fontId="20" fillId="0" borderId="0" xfId="0" applyFont="1" applyAlignment="1">
      <alignment horizontal="center" vertical="center" wrapText="1"/>
    </xf>
    <xf numFmtId="1" fontId="31" fillId="0" borderId="4" xfId="0" applyNumberFormat="1" applyFont="1" applyBorder="1" applyAlignment="1">
      <alignment horizontal="center" vertical="center" wrapText="1"/>
    </xf>
    <xf numFmtId="0" fontId="32" fillId="0" borderId="4" xfId="0" applyFont="1" applyBorder="1" applyAlignment="1">
      <alignment horizontal="center" vertical="center"/>
    </xf>
    <xf numFmtId="0" fontId="43" fillId="2" borderId="0" xfId="0" applyFont="1" applyFill="1" applyAlignment="1">
      <alignment horizontal="center" vertical="center"/>
    </xf>
    <xf numFmtId="17" fontId="44" fillId="3" borderId="1" xfId="0" applyNumberFormat="1" applyFont="1" applyFill="1" applyBorder="1" applyAlignment="1">
      <alignment horizontal="center" vertical="center" wrapText="1"/>
    </xf>
    <xf numFmtId="0" fontId="46" fillId="0" borderId="0" xfId="0" applyFont="1"/>
    <xf numFmtId="2" fontId="10" fillId="0" borderId="0" xfId="0" applyNumberFormat="1" applyFont="1" applyAlignment="1">
      <alignment horizontal="center"/>
    </xf>
    <xf numFmtId="2" fontId="10" fillId="0" borderId="0" xfId="0" applyNumberFormat="1" applyFont="1" applyAlignment="1">
      <alignment horizontal="left" indent="5"/>
    </xf>
    <xf numFmtId="0" fontId="10" fillId="0" borderId="12" xfId="0" applyFont="1" applyBorder="1" applyAlignment="1">
      <alignment horizontal="center"/>
    </xf>
    <xf numFmtId="0" fontId="10" fillId="0" borderId="7" xfId="0" applyFont="1" applyBorder="1"/>
    <xf numFmtId="2" fontId="10" fillId="0" borderId="7" xfId="0" applyNumberFormat="1" applyFont="1" applyBorder="1" applyAlignment="1">
      <alignment horizontal="center"/>
    </xf>
    <xf numFmtId="0" fontId="32" fillId="9" borderId="0" xfId="0" applyFont="1" applyFill="1"/>
    <xf numFmtId="164" fontId="32" fillId="0" borderId="0" xfId="4" applyFont="1"/>
    <xf numFmtId="0" fontId="10" fillId="9" borderId="0" xfId="0" applyFont="1" applyFill="1" applyAlignment="1">
      <alignment horizontal="center"/>
    </xf>
    <xf numFmtId="0" fontId="13" fillId="9" borderId="0" xfId="0" applyFont="1" applyFill="1" applyAlignment="1">
      <alignment horizontal="center"/>
    </xf>
    <xf numFmtId="164" fontId="32" fillId="0" borderId="0" xfId="20" applyNumberFormat="1" applyFont="1"/>
    <xf numFmtId="178" fontId="28" fillId="16" borderId="0" xfId="10" applyNumberFormat="1" applyFont="1" applyFill="1" applyAlignment="1">
      <alignment horizontal="center" vertical="center"/>
    </xf>
    <xf numFmtId="0" fontId="0" fillId="9" borderId="7" xfId="5" applyFont="1" applyFill="1" applyBorder="1" applyAlignment="1">
      <alignment horizontal="left" vertical="center" indent="2"/>
    </xf>
    <xf numFmtId="3" fontId="0" fillId="9" borderId="7" xfId="5" applyNumberFormat="1" applyFont="1" applyFill="1" applyBorder="1" applyAlignment="1">
      <alignment horizontal="center" vertical="center"/>
    </xf>
    <xf numFmtId="0" fontId="0" fillId="9" borderId="7" xfId="5" applyFont="1" applyFill="1" applyBorder="1" applyAlignment="1">
      <alignment horizontal="center"/>
    </xf>
    <xf numFmtId="191" fontId="0" fillId="5" borderId="7" xfId="13" applyNumberFormat="1" applyFont="1" applyFill="1" applyBorder="1" applyAlignment="1">
      <alignment horizontal="center" wrapText="1"/>
    </xf>
    <xf numFmtId="0" fontId="0" fillId="8" borderId="7" xfId="5" applyFont="1" applyFill="1" applyBorder="1" applyAlignment="1">
      <alignment horizontal="left" vertical="center" indent="2"/>
    </xf>
    <xf numFmtId="0" fontId="28" fillId="0" borderId="14" xfId="0" applyFont="1" applyBorder="1" applyAlignment="1">
      <alignment wrapText="1"/>
    </xf>
    <xf numFmtId="0" fontId="0" fillId="21" borderId="0" xfId="0" applyFill="1" applyAlignment="1">
      <alignment horizontal="center"/>
    </xf>
    <xf numFmtId="169" fontId="0" fillId="21" borderId="0" xfId="4" applyNumberFormat="1" applyFont="1" applyFill="1"/>
    <xf numFmtId="169" fontId="0" fillId="21" borderId="0" xfId="4" applyNumberFormat="1" applyFont="1" applyFill="1" applyAlignment="1">
      <alignment horizontal="center"/>
    </xf>
    <xf numFmtId="169" fontId="0" fillId="0" borderId="0" xfId="4" applyNumberFormat="1" applyFont="1" applyAlignment="1">
      <alignment horizontal="center"/>
    </xf>
    <xf numFmtId="0" fontId="53" fillId="22" borderId="0" xfId="0" applyFont="1" applyFill="1" applyAlignment="1">
      <alignment wrapText="1"/>
    </xf>
    <xf numFmtId="0" fontId="0" fillId="0" borderId="6" xfId="0" applyBorder="1"/>
    <xf numFmtId="0" fontId="0" fillId="0" borderId="6" xfId="0" applyBorder="1" applyAlignment="1">
      <alignment horizontal="center"/>
    </xf>
    <xf numFmtId="169" fontId="0" fillId="0" borderId="6" xfId="4" applyNumberFormat="1" applyFont="1" applyBorder="1"/>
    <xf numFmtId="169" fontId="0" fillId="0" borderId="6" xfId="4" applyNumberFormat="1" applyFont="1" applyBorder="1" applyAlignment="1">
      <alignment horizontal="center"/>
    </xf>
    <xf numFmtId="0" fontId="37" fillId="9" borderId="0" xfId="0" applyFont="1" applyFill="1" applyAlignment="1">
      <alignment horizontal="left" vertical="center" wrapText="1"/>
    </xf>
    <xf numFmtId="2" fontId="0" fillId="0" borderId="0" xfId="0" applyNumberFormat="1" applyAlignment="1">
      <alignment vertical="center"/>
    </xf>
    <xf numFmtId="0" fontId="46" fillId="0" borderId="0" xfId="0" applyFont="1" applyAlignment="1">
      <alignment horizontal="center" vertical="center"/>
    </xf>
    <xf numFmtId="0" fontId="0" fillId="0" borderId="0" xfId="0" applyAlignment="1">
      <alignment horizontal="center" wrapText="1"/>
    </xf>
    <xf numFmtId="1" fontId="0" fillId="0" borderId="0" xfId="0" applyNumberFormat="1" applyAlignment="1">
      <alignment horizontal="center"/>
    </xf>
    <xf numFmtId="169" fontId="0" fillId="9" borderId="0" xfId="4" applyNumberFormat="1" applyFont="1" applyFill="1"/>
    <xf numFmtId="9" fontId="9" fillId="9" borderId="1" xfId="5" applyNumberFormat="1" applyFont="1" applyFill="1" applyBorder="1" applyAlignment="1">
      <alignment horizontal="center" vertical="center" wrapText="1"/>
    </xf>
    <xf numFmtId="17" fontId="9" fillId="9" borderId="1" xfId="5" applyNumberFormat="1" applyFont="1" applyFill="1" applyBorder="1" applyAlignment="1">
      <alignment horizontal="center" vertical="center" wrapText="1"/>
    </xf>
    <xf numFmtId="17" fontId="9" fillId="9" borderId="2" xfId="5" applyNumberFormat="1" applyFont="1" applyFill="1" applyBorder="1" applyAlignment="1">
      <alignment horizontal="center" vertical="center" wrapText="1"/>
    </xf>
    <xf numFmtId="1" fontId="9" fillId="9" borderId="3" xfId="5" applyNumberFormat="1" applyFont="1" applyFill="1" applyBorder="1" applyAlignment="1">
      <alignment horizontal="center" vertical="center" wrapText="1"/>
    </xf>
    <xf numFmtId="1" fontId="9" fillId="9" borderId="4" xfId="5" applyNumberFormat="1" applyFont="1" applyFill="1" applyBorder="1" applyAlignment="1">
      <alignment horizontal="center" vertical="center" wrapText="1"/>
    </xf>
    <xf numFmtId="0" fontId="10" fillId="9" borderId="4" xfId="5" applyFont="1" applyFill="1" applyBorder="1" applyAlignment="1">
      <alignment horizontal="center" vertical="center"/>
    </xf>
    <xf numFmtId="0" fontId="54" fillId="0" borderId="0" xfId="0" applyFont="1"/>
    <xf numFmtId="0" fontId="54" fillId="21" borderId="0" xfId="0" applyFont="1" applyFill="1"/>
    <xf numFmtId="169" fontId="54" fillId="0" borderId="0" xfId="0" applyNumberFormat="1" applyFont="1"/>
    <xf numFmtId="169" fontId="10" fillId="8" borderId="0" xfId="4" applyNumberFormat="1" applyFont="1" applyFill="1"/>
    <xf numFmtId="164" fontId="6" fillId="0" borderId="0" xfId="0" applyNumberFormat="1" applyFont="1"/>
    <xf numFmtId="1" fontId="54" fillId="0" borderId="0" xfId="0" applyNumberFormat="1" applyFont="1" applyAlignment="1">
      <alignment horizontal="center"/>
    </xf>
    <xf numFmtId="169" fontId="54" fillId="0" borderId="0" xfId="4" applyNumberFormat="1" applyFont="1" applyAlignment="1">
      <alignment horizontal="center"/>
    </xf>
    <xf numFmtId="2" fontId="13" fillId="9" borderId="0" xfId="0" applyNumberFormat="1" applyFont="1" applyFill="1" applyAlignment="1">
      <alignment horizontal="center"/>
    </xf>
    <xf numFmtId="0" fontId="55" fillId="3" borderId="0" xfId="22" applyFont="1" applyFill="1" applyAlignment="1">
      <alignment vertical="center"/>
    </xf>
    <xf numFmtId="0" fontId="56" fillId="0" borderId="0" xfId="22" applyFont="1" applyAlignment="1">
      <alignment vertical="center"/>
    </xf>
    <xf numFmtId="0" fontId="56" fillId="3" borderId="0" xfId="22" applyFont="1" applyFill="1" applyAlignment="1">
      <alignment vertical="center"/>
    </xf>
    <xf numFmtId="0" fontId="57" fillId="0" borderId="0" xfId="22" applyFont="1" applyAlignment="1">
      <alignment horizontal="left" vertical="center"/>
    </xf>
    <xf numFmtId="0" fontId="22" fillId="0" borderId="0" xfId="22" applyFont="1" applyAlignment="1">
      <alignment vertical="center"/>
    </xf>
    <xf numFmtId="0" fontId="22" fillId="0" borderId="0" xfId="23" applyFont="1" applyAlignment="1">
      <alignment vertical="center"/>
    </xf>
    <xf numFmtId="0" fontId="56" fillId="0" borderId="6" xfId="22" applyFont="1" applyBorder="1" applyAlignment="1">
      <alignment vertical="center"/>
    </xf>
    <xf numFmtId="0" fontId="59" fillId="0" borderId="0" xfId="0" applyFont="1" applyAlignment="1">
      <alignment vertical="center"/>
    </xf>
    <xf numFmtId="0" fontId="60" fillId="0" borderId="6" xfId="0" applyFont="1" applyBorder="1"/>
    <xf numFmtId="0" fontId="59" fillId="0" borderId="0" xfId="0" applyFont="1"/>
    <xf numFmtId="10" fontId="0" fillId="0" borderId="0" xfId="1" applyNumberFormat="1" applyFont="1"/>
    <xf numFmtId="0" fontId="64" fillId="24" borderId="0" xfId="25" applyFont="1" applyFill="1"/>
    <xf numFmtId="0" fontId="64" fillId="25" borderId="0" xfId="25" applyFont="1" applyFill="1"/>
    <xf numFmtId="0" fontId="65" fillId="25" borderId="0" xfId="25" applyFont="1" applyFill="1" applyAlignment="1">
      <alignment vertical="center" wrapText="1"/>
    </xf>
    <xf numFmtId="0" fontId="17" fillId="9" borderId="0" xfId="25" applyFill="1"/>
    <xf numFmtId="0" fontId="17" fillId="26" borderId="0" xfId="25" applyFill="1"/>
    <xf numFmtId="0" fontId="64" fillId="9" borderId="0" xfId="25" applyFont="1" applyFill="1" applyAlignment="1">
      <alignment horizontal="left"/>
    </xf>
    <xf numFmtId="0" fontId="17" fillId="9" borderId="0" xfId="25" applyFill="1" applyAlignment="1">
      <alignment wrapText="1"/>
    </xf>
    <xf numFmtId="0" fontId="68" fillId="26" borderId="0" xfId="0" applyFont="1" applyFill="1" applyAlignment="1">
      <alignment horizontal="justify" vertical="center"/>
    </xf>
    <xf numFmtId="0" fontId="17" fillId="26" borderId="0" xfId="25" applyFill="1" applyAlignment="1">
      <alignment wrapText="1"/>
    </xf>
    <xf numFmtId="0" fontId="59" fillId="26" borderId="0" xfId="0" applyFont="1" applyFill="1" applyAlignment="1">
      <alignment horizontal="justify" vertical="center"/>
    </xf>
    <xf numFmtId="9" fontId="17" fillId="26" borderId="0" xfId="1" applyFont="1" applyFill="1"/>
    <xf numFmtId="0" fontId="64" fillId="26" borderId="0" xfId="25" applyFont="1" applyFill="1" applyAlignment="1">
      <alignment horizontal="left"/>
    </xf>
    <xf numFmtId="177" fontId="0" fillId="0" borderId="0" xfId="0" applyNumberFormat="1"/>
    <xf numFmtId="195" fontId="0" fillId="0" borderId="0" xfId="1" applyNumberFormat="1" applyFont="1"/>
    <xf numFmtId="0" fontId="28" fillId="14" borderId="0" xfId="0" applyFont="1" applyFill="1"/>
    <xf numFmtId="177" fontId="28" fillId="14" borderId="0" xfId="0" applyNumberFormat="1" applyFont="1" applyFill="1"/>
    <xf numFmtId="166" fontId="28" fillId="14" borderId="0" xfId="1" applyNumberFormat="1" applyFont="1" applyFill="1"/>
    <xf numFmtId="2" fontId="28" fillId="14" borderId="0" xfId="0" applyNumberFormat="1" applyFont="1" applyFill="1"/>
    <xf numFmtId="0" fontId="59" fillId="0" borderId="0" xfId="0" applyFont="1" applyAlignment="1">
      <alignment horizontal="left" vertical="center" wrapText="1"/>
    </xf>
    <xf numFmtId="0" fontId="74" fillId="5" borderId="0" xfId="0" applyFont="1" applyFill="1" applyAlignment="1">
      <alignment horizontal="left" vertical="center" wrapText="1"/>
    </xf>
    <xf numFmtId="0" fontId="59" fillId="14" borderId="0" xfId="0" applyFont="1" applyFill="1" applyAlignment="1">
      <alignment horizontal="left" vertical="center" wrapText="1"/>
    </xf>
    <xf numFmtId="0" fontId="59" fillId="9" borderId="0" xfId="25" applyFont="1" applyFill="1"/>
    <xf numFmtId="0" fontId="75" fillId="9" borderId="0" xfId="25" applyFont="1" applyFill="1" applyAlignment="1">
      <alignment vertical="center" wrapText="1"/>
    </xf>
    <xf numFmtId="0" fontId="76" fillId="9" borderId="0" xfId="25" applyFont="1" applyFill="1"/>
    <xf numFmtId="0" fontId="59" fillId="26" borderId="0" xfId="25" applyFont="1" applyFill="1"/>
    <xf numFmtId="0" fontId="71" fillId="27" borderId="22" xfId="25" applyFont="1" applyFill="1" applyBorder="1" applyAlignment="1">
      <alignment horizontal="left" vertical="center"/>
    </xf>
    <xf numFmtId="0" fontId="71" fillId="27" borderId="23" xfId="25" applyFont="1" applyFill="1" applyBorder="1" applyAlignment="1">
      <alignment horizontal="left" vertical="center" wrapText="1"/>
    </xf>
    <xf numFmtId="0" fontId="71" fillId="27" borderId="24" xfId="25" applyFont="1" applyFill="1" applyBorder="1" applyAlignment="1" applyProtection="1">
      <alignment horizontal="center" vertical="center" wrapText="1"/>
      <protection locked="0"/>
    </xf>
    <xf numFmtId="0" fontId="59" fillId="0" borderId="23" xfId="0" applyFont="1" applyBorder="1" applyAlignment="1">
      <alignment horizontal="left" vertical="center" wrapText="1"/>
    </xf>
    <xf numFmtId="0" fontId="58" fillId="14" borderId="24" xfId="25" applyFont="1" applyFill="1" applyBorder="1" applyAlignment="1" applyProtection="1">
      <alignment horizontal="center" vertical="center" wrapText="1"/>
      <protection locked="0"/>
    </xf>
    <xf numFmtId="0" fontId="58" fillId="0" borderId="23" xfId="0" applyFont="1" applyBorder="1" applyAlignment="1">
      <alignment horizontal="left" vertical="top" wrapText="1"/>
    </xf>
    <xf numFmtId="0" fontId="58" fillId="0" borderId="23" xfId="0" applyFont="1" applyBorder="1" applyAlignment="1">
      <alignment horizontal="left" vertical="center" wrapText="1"/>
    </xf>
    <xf numFmtId="0" fontId="59" fillId="9" borderId="0" xfId="25" applyFont="1" applyFill="1" applyAlignment="1">
      <alignment horizontal="left"/>
    </xf>
    <xf numFmtId="0" fontId="59" fillId="9" borderId="0" xfId="25" applyFont="1" applyFill="1" applyAlignment="1">
      <alignment wrapText="1"/>
    </xf>
    <xf numFmtId="192" fontId="58" fillId="14" borderId="34" xfId="25" applyNumberFormat="1" applyFont="1" applyFill="1" applyBorder="1" applyAlignment="1" applyProtection="1">
      <alignment horizontal="center" vertical="center" wrapText="1"/>
      <protection locked="0"/>
    </xf>
    <xf numFmtId="9" fontId="60" fillId="0" borderId="47" xfId="26" applyNumberFormat="1" applyFont="1" applyFill="1" applyBorder="1" applyAlignment="1" applyProtection="1">
      <alignment horizontal="center"/>
    </xf>
    <xf numFmtId="0" fontId="58" fillId="14" borderId="23" xfId="25" applyFont="1" applyFill="1" applyBorder="1" applyAlignment="1" applyProtection="1">
      <alignment horizontal="left" vertical="center" wrapText="1"/>
      <protection locked="0"/>
    </xf>
    <xf numFmtId="2" fontId="58" fillId="14" borderId="23" xfId="25" applyNumberFormat="1" applyFont="1" applyFill="1" applyBorder="1" applyAlignment="1" applyProtection="1">
      <alignment horizontal="left" vertical="center" wrapText="1"/>
      <protection locked="0"/>
    </xf>
    <xf numFmtId="0" fontId="66" fillId="9" borderId="8" xfId="25" applyFont="1" applyFill="1" applyBorder="1" applyAlignment="1">
      <alignment vertical="center" wrapText="1"/>
    </xf>
    <xf numFmtId="0" fontId="67" fillId="9" borderId="0" xfId="25" applyFont="1" applyFill="1"/>
    <xf numFmtId="0" fontId="17" fillId="0" borderId="0" xfId="25"/>
    <xf numFmtId="0" fontId="71" fillId="27" borderId="31" xfId="25" applyFont="1" applyFill="1" applyBorder="1" applyAlignment="1">
      <alignment horizontal="left" vertical="center" wrapText="1"/>
    </xf>
    <xf numFmtId="0" fontId="71" fillId="27" borderId="23" xfId="25" applyFont="1" applyFill="1" applyBorder="1" applyAlignment="1">
      <alignment horizontal="center" vertical="center" wrapText="1"/>
    </xf>
    <xf numFmtId="0" fontId="71" fillId="27" borderId="32" xfId="25" applyFont="1" applyFill="1" applyBorder="1" applyAlignment="1">
      <alignment horizontal="center" vertical="center" wrapText="1"/>
    </xf>
    <xf numFmtId="0" fontId="71" fillId="27" borderId="33" xfId="25" applyFont="1" applyFill="1" applyBorder="1" applyAlignment="1">
      <alignment horizontal="center" vertical="center" wrapText="1"/>
    </xf>
    <xf numFmtId="0" fontId="58" fillId="9" borderId="23" xfId="25" applyFont="1" applyFill="1" applyBorder="1" applyAlignment="1">
      <alignment horizontal="left" vertical="center" wrapText="1"/>
    </xf>
    <xf numFmtId="9" fontId="58" fillId="0" borderId="23" xfId="25" applyNumberFormat="1" applyFont="1" applyBorder="1" applyAlignment="1">
      <alignment horizontal="center" vertical="center" wrapText="1"/>
    </xf>
    <xf numFmtId="0" fontId="58" fillId="0" borderId="35" xfId="25" applyFont="1" applyBorder="1" applyAlignment="1">
      <alignment horizontal="center" vertical="center" wrapText="1"/>
    </xf>
    <xf numFmtId="9" fontId="71" fillId="0" borderId="38" xfId="1" applyFont="1" applyFill="1" applyBorder="1" applyAlignment="1" applyProtection="1">
      <alignment horizontal="center" vertical="center" wrapText="1"/>
    </xf>
    <xf numFmtId="0" fontId="71" fillId="0" borderId="39" xfId="25" applyFont="1" applyBorder="1" applyAlignment="1">
      <alignment horizontal="center" vertical="center" wrapText="1"/>
    </xf>
    <xf numFmtId="0" fontId="71" fillId="0" borderId="40" xfId="25" applyFont="1" applyBorder="1" applyAlignment="1">
      <alignment horizontal="center" vertical="center" wrapText="1"/>
    </xf>
    <xf numFmtId="0" fontId="58" fillId="9" borderId="41" xfId="25" applyFont="1" applyFill="1" applyBorder="1" applyAlignment="1">
      <alignment horizontal="left" vertical="center" wrapText="1"/>
    </xf>
    <xf numFmtId="0" fontId="59" fillId="9" borderId="0" xfId="25" applyFont="1" applyFill="1" applyAlignment="1">
      <alignment vertical="center"/>
    </xf>
    <xf numFmtId="0" fontId="58" fillId="0" borderId="32" xfId="25" applyFont="1" applyBorder="1" applyAlignment="1">
      <alignment horizontal="center" vertical="center" wrapText="1"/>
    </xf>
    <xf numFmtId="193" fontId="58" fillId="0" borderId="34" xfId="25" applyNumberFormat="1" applyFont="1" applyBorder="1" applyAlignment="1">
      <alignment horizontal="center" vertical="center" wrapText="1"/>
    </xf>
    <xf numFmtId="0" fontId="71" fillId="9" borderId="39" xfId="25" applyFont="1" applyFill="1" applyBorder="1" applyAlignment="1">
      <alignment horizontal="left" vertical="center" wrapText="1"/>
    </xf>
    <xf numFmtId="0" fontId="58" fillId="9" borderId="42" xfId="25" applyFont="1" applyFill="1" applyBorder="1" applyAlignment="1">
      <alignment horizontal="left" vertical="center" wrapText="1"/>
    </xf>
    <xf numFmtId="0" fontId="58" fillId="0" borderId="23" xfId="25" applyFont="1" applyBorder="1" applyAlignment="1">
      <alignment horizontal="left" vertical="center" wrapText="1"/>
    </xf>
    <xf numFmtId="9" fontId="58" fillId="0" borderId="23" xfId="25" applyNumberFormat="1" applyFont="1" applyBorder="1" applyAlignment="1">
      <alignment horizontal="center" vertical="center"/>
    </xf>
    <xf numFmtId="9" fontId="58" fillId="0" borderId="34" xfId="25" applyNumberFormat="1" applyFont="1" applyBorder="1" applyAlignment="1">
      <alignment horizontal="center" vertical="center" wrapText="1"/>
    </xf>
    <xf numFmtId="0" fontId="58" fillId="9" borderId="43" xfId="25" applyFont="1" applyFill="1" applyBorder="1" applyAlignment="1">
      <alignment horizontal="left" vertical="center" wrapText="1"/>
    </xf>
    <xf numFmtId="4" fontId="58" fillId="0" borderId="34" xfId="15" applyNumberFormat="1" applyFont="1" applyFill="1" applyBorder="1" applyAlignment="1" applyProtection="1">
      <alignment horizontal="center" vertical="center"/>
    </xf>
    <xf numFmtId="0" fontId="59" fillId="9" borderId="0" xfId="25" applyFont="1" applyFill="1" applyAlignment="1">
      <alignment vertical="center" wrapText="1"/>
    </xf>
    <xf numFmtId="0" fontId="59" fillId="9" borderId="44" xfId="25" applyFont="1" applyFill="1" applyBorder="1"/>
    <xf numFmtId="0" fontId="60" fillId="9" borderId="46" xfId="26" applyFont="1" applyFill="1" applyBorder="1" applyAlignment="1" applyProtection="1">
      <alignment horizontal="left" vertical="center" wrapText="1"/>
    </xf>
    <xf numFmtId="0" fontId="64" fillId="26" borderId="0" xfId="25" applyFont="1" applyFill="1"/>
    <xf numFmtId="9" fontId="17" fillId="26" borderId="0" xfId="1" applyFont="1" applyFill="1" applyProtection="1"/>
    <xf numFmtId="9" fontId="58" fillId="14" borderId="34" xfId="25" applyNumberFormat="1" applyFont="1" applyFill="1" applyBorder="1" applyAlignment="1" applyProtection="1">
      <alignment horizontal="center" vertical="center" wrapText="1"/>
      <protection locked="0"/>
    </xf>
    <xf numFmtId="193" fontId="58" fillId="14" borderId="34" xfId="25" applyNumberFormat="1" applyFont="1" applyFill="1" applyBorder="1" applyAlignment="1" applyProtection="1">
      <alignment horizontal="center" vertical="center" wrapText="1"/>
      <protection locked="0"/>
    </xf>
    <xf numFmtId="0" fontId="74" fillId="5" borderId="23" xfId="25" applyFont="1" applyFill="1" applyBorder="1" applyAlignment="1" applyProtection="1">
      <alignment horizontal="left" vertical="center" wrapText="1"/>
      <protection locked="0"/>
    </xf>
    <xf numFmtId="0" fontId="41" fillId="20" borderId="0" xfId="0" applyFont="1" applyFill="1"/>
    <xf numFmtId="0" fontId="45" fillId="20" borderId="0" xfId="0" applyFont="1" applyFill="1"/>
    <xf numFmtId="1" fontId="33" fillId="20" borderId="0" xfId="0" applyNumberFormat="1" applyFont="1" applyFill="1" applyAlignment="1">
      <alignment horizontal="right"/>
    </xf>
    <xf numFmtId="0" fontId="32" fillId="19" borderId="0" xfId="20" applyFont="1" applyFill="1"/>
    <xf numFmtId="0" fontId="32" fillId="0" borderId="0" xfId="0" applyFont="1" applyAlignment="1">
      <alignment horizontal="left" indent="1"/>
    </xf>
    <xf numFmtId="4" fontId="35" fillId="0" borderId="0" xfId="0" applyNumberFormat="1" applyFont="1"/>
    <xf numFmtId="0" fontId="34" fillId="0" borderId="0" xfId="0" applyFont="1"/>
    <xf numFmtId="0" fontId="10" fillId="0" borderId="0" xfId="20" applyFont="1"/>
    <xf numFmtId="0" fontId="32" fillId="0" borderId="0" xfId="20" applyFont="1"/>
    <xf numFmtId="173" fontId="42" fillId="0" borderId="0" xfId="4" applyNumberFormat="1" applyFont="1" applyFill="1" applyProtection="1"/>
    <xf numFmtId="0" fontId="32" fillId="0" borderId="0" xfId="0" applyFont="1" applyAlignment="1">
      <alignment horizontal="left"/>
    </xf>
    <xf numFmtId="10" fontId="32" fillId="0" borderId="0" xfId="1" applyNumberFormat="1" applyFont="1" applyProtection="1"/>
    <xf numFmtId="10" fontId="32" fillId="0" borderId="0" xfId="1" applyNumberFormat="1" applyFont="1" applyFill="1" applyProtection="1"/>
    <xf numFmtId="10" fontId="32" fillId="0" borderId="0" xfId="0" applyNumberFormat="1" applyFont="1"/>
    <xf numFmtId="2" fontId="35" fillId="0" borderId="0" xfId="0" applyNumberFormat="1" applyFont="1"/>
    <xf numFmtId="0" fontId="39" fillId="0" borderId="0" xfId="0" applyFont="1"/>
    <xf numFmtId="43" fontId="10" fillId="0" borderId="0" xfId="0" applyNumberFormat="1" applyFont="1"/>
    <xf numFmtId="9" fontId="40" fillId="9" borderId="0" xfId="1" applyFont="1" applyFill="1" applyProtection="1"/>
    <xf numFmtId="0" fontId="37" fillId="9" borderId="0" xfId="0" applyFont="1" applyFill="1" applyAlignment="1">
      <alignment horizontal="left"/>
    </xf>
    <xf numFmtId="2" fontId="36" fillId="0" borderId="0" xfId="0" applyNumberFormat="1" applyFont="1"/>
    <xf numFmtId="0" fontId="36" fillId="9" borderId="0" xfId="0" applyFont="1" applyFill="1"/>
    <xf numFmtId="164" fontId="32" fillId="0" borderId="0" xfId="0" applyNumberFormat="1" applyFont="1"/>
    <xf numFmtId="0" fontId="39" fillId="0" borderId="0" xfId="0" applyFont="1" applyAlignment="1">
      <alignment horizontal="left" indent="1"/>
    </xf>
    <xf numFmtId="0" fontId="32" fillId="9" borderId="0" xfId="0" applyFont="1" applyFill="1" applyAlignment="1">
      <alignment horizontal="left"/>
    </xf>
    <xf numFmtId="169" fontId="32" fillId="0" borderId="0" xfId="4" applyNumberFormat="1" applyFont="1" applyProtection="1"/>
    <xf numFmtId="0" fontId="46" fillId="0" borderId="0" xfId="0" applyFont="1" applyAlignment="1">
      <alignment horizontal="right"/>
    </xf>
    <xf numFmtId="194" fontId="32" fillId="0" borderId="0" xfId="0" applyNumberFormat="1" applyFont="1"/>
    <xf numFmtId="0" fontId="46" fillId="9" borderId="0" xfId="0" applyFont="1" applyFill="1"/>
    <xf numFmtId="0" fontId="36" fillId="0" borderId="0" xfId="0" applyFont="1"/>
    <xf numFmtId="173" fontId="35" fillId="9" borderId="0" xfId="15" applyNumberFormat="1" applyFont="1" applyFill="1" applyProtection="1"/>
    <xf numFmtId="173" fontId="36" fillId="0" borderId="0" xfId="15" applyNumberFormat="1" applyFont="1" applyFill="1" applyProtection="1"/>
    <xf numFmtId="0" fontId="40" fillId="9" borderId="0" xfId="0" applyFont="1" applyFill="1"/>
    <xf numFmtId="0" fontId="32" fillId="9" borderId="0" xfId="0" applyFont="1" applyFill="1" applyAlignment="1">
      <alignment horizontal="left" indent="2"/>
    </xf>
    <xf numFmtId="4" fontId="32" fillId="0" borderId="0" xfId="0" applyNumberFormat="1" applyFont="1"/>
    <xf numFmtId="164" fontId="63" fillId="0" borderId="0" xfId="4" applyFont="1" applyProtection="1"/>
    <xf numFmtId="2" fontId="32" fillId="9" borderId="0" xfId="0" applyNumberFormat="1" applyFont="1" applyFill="1"/>
    <xf numFmtId="164" fontId="32" fillId="9" borderId="0" xfId="4" applyFont="1" applyFill="1" applyProtection="1"/>
    <xf numFmtId="164" fontId="63" fillId="0" borderId="0" xfId="0" applyNumberFormat="1" applyFont="1"/>
    <xf numFmtId="2" fontId="32" fillId="0" borderId="0" xfId="0" applyNumberFormat="1" applyFont="1"/>
    <xf numFmtId="0" fontId="62" fillId="0" borderId="0" xfId="0" applyFont="1"/>
    <xf numFmtId="186" fontId="32" fillId="9" borderId="0" xfId="0" applyNumberFormat="1" applyFont="1" applyFill="1"/>
    <xf numFmtId="4" fontId="32" fillId="9" borderId="0" xfId="0" applyNumberFormat="1" applyFont="1" applyFill="1"/>
    <xf numFmtId="190" fontId="32" fillId="9" borderId="0" xfId="0" applyNumberFormat="1" applyFont="1" applyFill="1"/>
    <xf numFmtId="0" fontId="63" fillId="0" borderId="0" xfId="0" applyFont="1"/>
    <xf numFmtId="164" fontId="32" fillId="0" borderId="0" xfId="4" applyFont="1" applyProtection="1"/>
    <xf numFmtId="2" fontId="35" fillId="5" borderId="0" xfId="0" applyNumberFormat="1" applyFont="1" applyFill="1" applyProtection="1">
      <protection locked="0"/>
    </xf>
    <xf numFmtId="9" fontId="40" fillId="5" borderId="0" xfId="1" applyFont="1" applyFill="1" applyProtection="1">
      <protection locked="0"/>
    </xf>
    <xf numFmtId="4" fontId="35" fillId="5" borderId="0" xfId="0" applyNumberFormat="1" applyFont="1" applyFill="1" applyProtection="1">
      <protection locked="0"/>
    </xf>
    <xf numFmtId="0" fontId="35" fillId="5" borderId="0" xfId="0" applyFont="1" applyFill="1" applyProtection="1">
      <protection locked="0"/>
    </xf>
    <xf numFmtId="3" fontId="35" fillId="5" borderId="0" xfId="0" applyNumberFormat="1" applyFont="1" applyFill="1" applyProtection="1">
      <protection locked="0"/>
    </xf>
    <xf numFmtId="166" fontId="40" fillId="5" borderId="0" xfId="1" applyNumberFormat="1" applyFont="1" applyFill="1" applyProtection="1">
      <protection locked="0"/>
    </xf>
    <xf numFmtId="164" fontId="35" fillId="5" borderId="0" xfId="4" applyFont="1" applyFill="1" applyProtection="1">
      <protection locked="0"/>
    </xf>
    <xf numFmtId="0" fontId="64" fillId="29" borderId="0" xfId="25" applyFont="1" applyFill="1"/>
    <xf numFmtId="0" fontId="17" fillId="30" borderId="0" xfId="25" applyFill="1"/>
    <xf numFmtId="0" fontId="59" fillId="30" borderId="0" xfId="25" applyFont="1" applyFill="1"/>
    <xf numFmtId="0" fontId="71" fillId="27" borderId="0" xfId="25" applyFont="1" applyFill="1" applyAlignment="1">
      <alignment horizontal="left" vertical="center" wrapText="1"/>
    </xf>
    <xf numFmtId="0" fontId="71" fillId="9" borderId="23" xfId="25" applyFont="1" applyFill="1" applyBorder="1" applyAlignment="1">
      <alignment horizontal="left" vertical="center" wrapText="1"/>
    </xf>
    <xf numFmtId="1" fontId="58" fillId="9" borderId="23" xfId="25" applyNumberFormat="1" applyFont="1" applyFill="1" applyBorder="1" applyAlignment="1">
      <alignment horizontal="center" vertical="center" wrapText="1"/>
    </xf>
    <xf numFmtId="0" fontId="58" fillId="9" borderId="23" xfId="25" applyFont="1" applyFill="1" applyBorder="1" applyAlignment="1">
      <alignment horizontal="center" vertical="center" wrapText="1"/>
    </xf>
    <xf numFmtId="0" fontId="59" fillId="9" borderId="0" xfId="0" applyFont="1" applyFill="1"/>
    <xf numFmtId="0" fontId="59" fillId="30" borderId="0" xfId="0" applyFont="1" applyFill="1"/>
    <xf numFmtId="0" fontId="59" fillId="9" borderId="0" xfId="0" applyFont="1" applyFill="1" applyAlignment="1">
      <alignment horizontal="justify" vertical="center"/>
    </xf>
    <xf numFmtId="0" fontId="59" fillId="30" borderId="0" xfId="0" applyFont="1" applyFill="1" applyAlignment="1">
      <alignment horizontal="justify" vertical="center"/>
    </xf>
    <xf numFmtId="0" fontId="17" fillId="30" borderId="0" xfId="25" applyFill="1" applyAlignment="1">
      <alignment wrapText="1"/>
    </xf>
    <xf numFmtId="0" fontId="64" fillId="30" borderId="0" xfId="25" applyFont="1" applyFill="1"/>
    <xf numFmtId="0" fontId="64" fillId="30" borderId="0" xfId="25" applyFont="1" applyFill="1" applyAlignment="1">
      <alignment horizontal="left"/>
    </xf>
    <xf numFmtId="164" fontId="52" fillId="2" borderId="0" xfId="4" applyFont="1" applyFill="1" applyAlignment="1" applyProtection="1">
      <alignment horizontal="center" vertical="center" wrapText="1"/>
    </xf>
    <xf numFmtId="0" fontId="48" fillId="2" borderId="0" xfId="0" applyFont="1" applyFill="1" applyAlignment="1">
      <alignment horizontal="left" vertical="center"/>
    </xf>
    <xf numFmtId="0" fontId="24" fillId="9" borderId="0" xfId="0" applyFont="1" applyFill="1"/>
    <xf numFmtId="0" fontId="37" fillId="0" borderId="5" xfId="0" applyFont="1" applyBorder="1"/>
    <xf numFmtId="0" fontId="37" fillId="0" borderId="5" xfId="0" applyFont="1" applyBorder="1" applyAlignment="1">
      <alignment horizontal="center"/>
    </xf>
    <xf numFmtId="0" fontId="24" fillId="0" borderId="0" xfId="0" applyFont="1"/>
    <xf numFmtId="0" fontId="51" fillId="0" borderId="0" xfId="0" applyFont="1"/>
    <xf numFmtId="187" fontId="36" fillId="0" borderId="0" xfId="7" applyNumberFormat="1" applyFont="1" applyFill="1" applyAlignment="1">
      <alignment horizontal="center"/>
    </xf>
    <xf numFmtId="0" fontId="37" fillId="0" borderId="0" xfId="0" applyFont="1" applyAlignment="1">
      <alignment horizontal="left"/>
    </xf>
    <xf numFmtId="1" fontId="24" fillId="0" borderId="0" xfId="0" applyNumberFormat="1" applyFont="1" applyAlignment="1">
      <alignment horizontal="center"/>
    </xf>
    <xf numFmtId="0" fontId="37" fillId="9" borderId="0" xfId="0" applyFont="1" applyFill="1" applyAlignment="1">
      <alignment horizontal="center"/>
    </xf>
    <xf numFmtId="0" fontId="46" fillId="0" borderId="0" xfId="0" applyFont="1" applyAlignment="1">
      <alignment horizontal="center"/>
    </xf>
    <xf numFmtId="189" fontId="36" fillId="0" borderId="0" xfId="0" applyNumberFormat="1" applyFont="1" applyAlignment="1">
      <alignment horizontal="center"/>
    </xf>
    <xf numFmtId="179" fontId="24" fillId="9" borderId="0" xfId="0" applyNumberFormat="1" applyFont="1" applyFill="1"/>
    <xf numFmtId="0" fontId="36" fillId="0" borderId="0" xfId="0" applyFont="1" applyAlignment="1">
      <alignment horizontal="center"/>
    </xf>
    <xf numFmtId="3" fontId="36" fillId="0" borderId="0" xfId="4" applyNumberFormat="1" applyFont="1" applyFill="1" applyAlignment="1" applyProtection="1">
      <alignment horizontal="center"/>
    </xf>
    <xf numFmtId="0" fontId="37" fillId="0" borderId="0" xfId="0" applyFont="1" applyAlignment="1">
      <alignment horizontal="left" indent="1"/>
    </xf>
    <xf numFmtId="37" fontId="36" fillId="0" borderId="0" xfId="4" applyNumberFormat="1" applyFont="1" applyFill="1" applyAlignment="1" applyProtection="1">
      <alignment horizontal="center"/>
    </xf>
    <xf numFmtId="9" fontId="36" fillId="0" borderId="0" xfId="1" applyFont="1" applyFill="1" applyAlignment="1" applyProtection="1">
      <alignment horizontal="center"/>
    </xf>
    <xf numFmtId="3" fontId="36" fillId="0" borderId="0" xfId="0" applyNumberFormat="1" applyFont="1" applyAlignment="1">
      <alignment horizontal="center"/>
    </xf>
    <xf numFmtId="0" fontId="27" fillId="0" borderId="0" xfId="0" applyFont="1" applyAlignment="1">
      <alignment horizontal="center"/>
    </xf>
    <xf numFmtId="0" fontId="70" fillId="0" borderId="0" xfId="0" applyFont="1"/>
    <xf numFmtId="9" fontId="24" fillId="0" borderId="0" xfId="1" applyFont="1" applyProtection="1"/>
    <xf numFmtId="37" fontId="36" fillId="9" borderId="0" xfId="4" applyNumberFormat="1" applyFont="1" applyFill="1" applyAlignment="1" applyProtection="1">
      <alignment horizontal="center"/>
    </xf>
    <xf numFmtId="1" fontId="37" fillId="0" borderId="0" xfId="0" applyNumberFormat="1" applyFont="1" applyAlignment="1">
      <alignment horizontal="center"/>
    </xf>
    <xf numFmtId="1" fontId="51" fillId="0" borderId="0" xfId="0" applyNumberFormat="1" applyFont="1" applyAlignment="1">
      <alignment horizontal="center"/>
    </xf>
    <xf numFmtId="188" fontId="32" fillId="0" borderId="0" xfId="0" applyNumberFormat="1" applyFont="1" applyAlignment="1">
      <alignment horizontal="right"/>
    </xf>
    <xf numFmtId="9" fontId="32" fillId="0" borderId="0" xfId="1" applyFont="1" applyAlignment="1" applyProtection="1">
      <alignment horizontal="right"/>
    </xf>
    <xf numFmtId="0" fontId="33" fillId="20" borderId="0" xfId="20" applyFont="1" applyFill="1"/>
    <xf numFmtId="189" fontId="33" fillId="20" borderId="0" xfId="20" applyNumberFormat="1" applyFont="1" applyFill="1"/>
    <xf numFmtId="0" fontId="1" fillId="0" borderId="0" xfId="20"/>
    <xf numFmtId="0" fontId="37" fillId="0" borderId="6" xfId="20" applyFont="1" applyBorder="1"/>
    <xf numFmtId="0" fontId="32" fillId="0" borderId="6" xfId="20" applyFont="1" applyBorder="1"/>
    <xf numFmtId="0" fontId="36" fillId="0" borderId="0" xfId="20" applyFont="1"/>
    <xf numFmtId="0" fontId="13" fillId="0" borderId="0" xfId="20" applyFont="1"/>
    <xf numFmtId="0" fontId="37" fillId="0" borderId="0" xfId="20" applyFont="1"/>
    <xf numFmtId="187" fontId="36" fillId="0" borderId="0" xfId="0" applyNumberFormat="1" applyFont="1"/>
    <xf numFmtId="169" fontId="36" fillId="0" borderId="0" xfId="4" applyNumberFormat="1" applyFont="1" applyProtection="1"/>
    <xf numFmtId="1" fontId="36" fillId="0" borderId="0" xfId="0" applyNumberFormat="1" applyFont="1"/>
    <xf numFmtId="0" fontId="13" fillId="9" borderId="0" xfId="20" applyFont="1" applyFill="1"/>
    <xf numFmtId="172" fontId="47" fillId="0" borderId="0" xfId="0" applyNumberFormat="1" applyFont="1" applyAlignment="1">
      <alignment horizontal="right"/>
    </xf>
    <xf numFmtId="9" fontId="36" fillId="0" borderId="0" xfId="1" applyFont="1" applyAlignment="1" applyProtection="1">
      <alignment horizontal="center"/>
    </xf>
    <xf numFmtId="10" fontId="36" fillId="0" borderId="0" xfId="0" applyNumberFormat="1" applyFont="1"/>
    <xf numFmtId="9" fontId="36" fillId="0" borderId="0" xfId="0" applyNumberFormat="1" applyFont="1"/>
    <xf numFmtId="10" fontId="36" fillId="9" borderId="0" xfId="0" applyNumberFormat="1" applyFont="1" applyFill="1"/>
    <xf numFmtId="10" fontId="70" fillId="0" borderId="0" xfId="0" applyNumberFormat="1" applyFont="1"/>
    <xf numFmtId="172" fontId="36" fillId="0" borderId="0" xfId="0" applyNumberFormat="1" applyFont="1" applyAlignment="1">
      <alignment horizontal="right"/>
    </xf>
    <xf numFmtId="0" fontId="77" fillId="0" borderId="0" xfId="20" applyFont="1"/>
    <xf numFmtId="0" fontId="36" fillId="19" borderId="0" xfId="20" applyFont="1" applyFill="1"/>
    <xf numFmtId="0" fontId="49" fillId="0" borderId="0" xfId="20" applyFont="1"/>
    <xf numFmtId="0" fontId="38" fillId="0" borderId="5" xfId="0" applyFont="1" applyBorder="1" applyAlignment="1">
      <alignment horizontal="center"/>
    </xf>
    <xf numFmtId="0" fontId="46" fillId="0" borderId="0" xfId="20" applyFont="1"/>
    <xf numFmtId="0" fontId="36" fillId="9" borderId="0" xfId="20" applyFont="1" applyFill="1"/>
    <xf numFmtId="3" fontId="36" fillId="0" borderId="0" xfId="4" applyNumberFormat="1" applyFont="1" applyFill="1" applyProtection="1"/>
    <xf numFmtId="3" fontId="32" fillId="0" borderId="0" xfId="4" applyNumberFormat="1" applyFont="1" applyFill="1" applyProtection="1"/>
    <xf numFmtId="0" fontId="32" fillId="0" borderId="0" xfId="20" applyFont="1" applyAlignment="1">
      <alignment horizontal="left" indent="1"/>
    </xf>
    <xf numFmtId="3" fontId="36" fillId="9" borderId="0" xfId="20" applyNumberFormat="1" applyFont="1" applyFill="1"/>
    <xf numFmtId="0" fontId="50" fillId="9" borderId="0" xfId="20" applyFont="1" applyFill="1"/>
    <xf numFmtId="0" fontId="32" fillId="9" borderId="0" xfId="20" applyFont="1" applyFill="1"/>
    <xf numFmtId="0" fontId="49" fillId="9" borderId="0" xfId="20" applyFont="1" applyFill="1"/>
    <xf numFmtId="0" fontId="36" fillId="0" borderId="5" xfId="0" applyFont="1" applyBorder="1" applyAlignment="1">
      <alignment horizontal="center"/>
    </xf>
    <xf numFmtId="0" fontId="32" fillId="0" borderId="5" xfId="0" applyFont="1" applyBorder="1" applyAlignment="1">
      <alignment horizontal="center"/>
    </xf>
    <xf numFmtId="0" fontId="32" fillId="0" borderId="0" xfId="20" applyFont="1" applyAlignment="1">
      <alignment horizontal="left" indent="2"/>
    </xf>
    <xf numFmtId="0" fontId="36" fillId="20" borderId="0" xfId="20" applyFont="1" applyFill="1"/>
    <xf numFmtId="0" fontId="36" fillId="0" borderId="6" xfId="20" applyFont="1" applyBorder="1"/>
    <xf numFmtId="173" fontId="32" fillId="0" borderId="6" xfId="20" applyNumberFormat="1" applyFont="1" applyBorder="1"/>
    <xf numFmtId="173" fontId="32" fillId="0" borderId="0" xfId="21" applyNumberFormat="1" applyFont="1" applyProtection="1"/>
    <xf numFmtId="173" fontId="32" fillId="0" borderId="0" xfId="20" applyNumberFormat="1" applyFont="1"/>
    <xf numFmtId="169" fontId="32" fillId="9" borderId="6" xfId="20" applyNumberFormat="1" applyFont="1" applyFill="1" applyBorder="1"/>
    <xf numFmtId="164" fontId="32" fillId="0" borderId="6" xfId="20" applyNumberFormat="1" applyFont="1" applyBorder="1"/>
    <xf numFmtId="169" fontId="32" fillId="0" borderId="6" xfId="20" applyNumberFormat="1" applyFont="1" applyBorder="1"/>
    <xf numFmtId="169" fontId="32" fillId="9" borderId="0" xfId="20" applyNumberFormat="1" applyFont="1" applyFill="1"/>
    <xf numFmtId="169" fontId="32" fillId="0" borderId="0" xfId="20" applyNumberFormat="1" applyFont="1"/>
    <xf numFmtId="164" fontId="32" fillId="9" borderId="0" xfId="20" applyNumberFormat="1" applyFont="1" applyFill="1"/>
    <xf numFmtId="0" fontId="32" fillId="0" borderId="6" xfId="20" applyFont="1" applyBorder="1" applyAlignment="1">
      <alignment horizontal="left"/>
    </xf>
    <xf numFmtId="164" fontId="36" fillId="0" borderId="6" xfId="20" applyNumberFormat="1" applyFont="1" applyBorder="1"/>
    <xf numFmtId="164" fontId="36" fillId="0" borderId="0" xfId="4" applyFont="1" applyProtection="1"/>
    <xf numFmtId="169" fontId="32" fillId="9" borderId="0" xfId="4" applyNumberFormat="1" applyFont="1" applyFill="1" applyProtection="1"/>
    <xf numFmtId="169" fontId="1" fillId="0" borderId="0" xfId="20" applyNumberFormat="1"/>
    <xf numFmtId="169" fontId="36" fillId="0" borderId="6" xfId="20" applyNumberFormat="1" applyFont="1" applyBorder="1"/>
    <xf numFmtId="0" fontId="33" fillId="9" borderId="0" xfId="20" applyFont="1" applyFill="1"/>
    <xf numFmtId="169" fontId="36" fillId="9" borderId="0" xfId="20" applyNumberFormat="1" applyFont="1" applyFill="1"/>
    <xf numFmtId="0" fontId="32" fillId="0" borderId="0" xfId="20" quotePrefix="1" applyFont="1"/>
    <xf numFmtId="9" fontId="36" fillId="0" borderId="0" xfId="1" applyFont="1" applyProtection="1"/>
    <xf numFmtId="0" fontId="78" fillId="0" borderId="0" xfId="0" applyFont="1"/>
    <xf numFmtId="9" fontId="36" fillId="0" borderId="0" xfId="1" applyFont="1" applyFill="1" applyProtection="1"/>
    <xf numFmtId="0" fontId="37" fillId="0" borderId="0" xfId="20" applyFont="1" applyAlignment="1">
      <alignment horizontal="left"/>
    </xf>
    <xf numFmtId="0" fontId="47" fillId="0" borderId="0" xfId="0" applyFont="1"/>
    <xf numFmtId="0" fontId="37" fillId="0" borderId="0" xfId="20" applyFont="1" applyAlignment="1">
      <alignment horizontal="left" indent="1"/>
    </xf>
    <xf numFmtId="189" fontId="32" fillId="0" borderId="0" xfId="20" applyNumberFormat="1" applyFont="1"/>
    <xf numFmtId="179" fontId="35" fillId="5" borderId="0" xfId="0" applyNumberFormat="1" applyFont="1" applyFill="1" applyProtection="1">
      <protection locked="0"/>
    </xf>
    <xf numFmtId="0" fontId="58" fillId="14" borderId="0" xfId="25" applyFont="1" applyFill="1" applyAlignment="1" applyProtection="1">
      <alignment horizontal="center" vertical="center" wrapText="1"/>
      <protection locked="0"/>
    </xf>
    <xf numFmtId="0" fontId="79" fillId="5" borderId="23" xfId="25" applyFont="1" applyFill="1" applyBorder="1" applyAlignment="1" applyProtection="1">
      <alignment horizontal="left" vertical="center" wrapText="1"/>
      <protection locked="0"/>
    </xf>
    <xf numFmtId="0" fontId="10" fillId="4" borderId="0" xfId="0" applyFont="1" applyFill="1"/>
    <xf numFmtId="0" fontId="29" fillId="4" borderId="0" xfId="0" applyFont="1" applyFill="1"/>
    <xf numFmtId="0" fontId="10" fillId="6" borderId="0" xfId="0" applyFont="1" applyFill="1"/>
    <xf numFmtId="0" fontId="29" fillId="6" borderId="0" xfId="0" applyFont="1" applyFill="1"/>
    <xf numFmtId="0" fontId="10" fillId="6" borderId="0" xfId="0" applyFont="1" applyFill="1" applyAlignment="1">
      <alignment horizontal="center"/>
    </xf>
    <xf numFmtId="1" fontId="10" fillId="6" borderId="0" xfId="0" applyNumberFormat="1" applyFont="1" applyFill="1" applyAlignment="1">
      <alignment horizontal="center"/>
    </xf>
    <xf numFmtId="0" fontId="80" fillId="0" borderId="0" xfId="0" applyFont="1"/>
    <xf numFmtId="168" fontId="10" fillId="0" borderId="0" xfId="0" applyNumberFormat="1" applyFont="1"/>
    <xf numFmtId="168" fontId="14" fillId="0" borderId="0" xfId="0" applyNumberFormat="1" applyFont="1"/>
    <xf numFmtId="168" fontId="22" fillId="0" borderId="0" xfId="16" applyNumberFormat="1" applyFont="1"/>
    <xf numFmtId="168" fontId="13" fillId="0" borderId="0" xfId="16" applyNumberFormat="1" applyFont="1"/>
    <xf numFmtId="10" fontId="14" fillId="0" borderId="0" xfId="1" applyNumberFormat="1" applyFont="1"/>
    <xf numFmtId="0" fontId="14" fillId="9" borderId="0" xfId="0" applyFont="1" applyFill="1"/>
    <xf numFmtId="0" fontId="29" fillId="0" borderId="0" xfId="0" applyFont="1" applyAlignment="1">
      <alignment horizontal="left" indent="2"/>
    </xf>
    <xf numFmtId="168" fontId="29" fillId="0" borderId="0" xfId="0" applyNumberFormat="1" applyFont="1"/>
    <xf numFmtId="9" fontId="29" fillId="0" borderId="0" xfId="1" applyFont="1"/>
    <xf numFmtId="168" fontId="10" fillId="9" borderId="0" xfId="0" applyNumberFormat="1" applyFont="1" applyFill="1"/>
    <xf numFmtId="173" fontId="10" fillId="0" borderId="0" xfId="0" applyNumberFormat="1" applyFont="1"/>
    <xf numFmtId="189" fontId="10" fillId="6" borderId="0" xfId="0" applyNumberFormat="1" applyFont="1" applyFill="1" applyAlignment="1">
      <alignment horizontal="center"/>
    </xf>
    <xf numFmtId="0" fontId="11" fillId="0" borderId="0" xfId="0" applyFont="1" applyAlignment="1">
      <alignment horizontal="center"/>
    </xf>
    <xf numFmtId="0" fontId="81" fillId="0" borderId="0" xfId="0" applyFont="1" applyAlignment="1">
      <alignment horizontal="left"/>
    </xf>
    <xf numFmtId="1" fontId="42" fillId="9" borderId="0" xfId="0" applyNumberFormat="1" applyFont="1" applyFill="1" applyAlignment="1">
      <alignment horizontal="center"/>
    </xf>
    <xf numFmtId="1" fontId="13" fillId="0" borderId="0" xfId="0" applyNumberFormat="1" applyFont="1" applyAlignment="1">
      <alignment horizontal="center"/>
    </xf>
    <xf numFmtId="168" fontId="10" fillId="0" borderId="0" xfId="0" applyNumberFormat="1" applyFont="1" applyAlignment="1">
      <alignment horizontal="center"/>
    </xf>
    <xf numFmtId="166" fontId="10" fillId="0" borderId="0" xfId="1" applyNumberFormat="1" applyFont="1" applyAlignment="1">
      <alignment horizontal="center"/>
    </xf>
    <xf numFmtId="10" fontId="10" fillId="0" borderId="0" xfId="1" applyNumberFormat="1" applyFont="1" applyAlignment="1">
      <alignment horizontal="center"/>
    </xf>
    <xf numFmtId="10" fontId="10" fillId="0" borderId="0" xfId="1" applyNumberFormat="1" applyFont="1"/>
    <xf numFmtId="168" fontId="10" fillId="9" borderId="0" xfId="0" applyNumberFormat="1" applyFont="1" applyFill="1" applyAlignment="1">
      <alignment horizontal="center"/>
    </xf>
    <xf numFmtId="0" fontId="58" fillId="0" borderId="15" xfId="22" applyFont="1" applyBorder="1" applyAlignment="1">
      <alignment horizontal="left" vertical="top" wrapText="1"/>
    </xf>
    <xf numFmtId="0" fontId="58" fillId="0" borderId="16" xfId="22" applyFont="1" applyBorder="1" applyAlignment="1">
      <alignment horizontal="left" vertical="top" wrapText="1"/>
    </xf>
    <xf numFmtId="0" fontId="58" fillId="0" borderId="17" xfId="22" applyFont="1" applyBorder="1" applyAlignment="1">
      <alignment horizontal="left" vertical="top" wrapText="1"/>
    </xf>
    <xf numFmtId="0" fontId="58" fillId="0" borderId="18" xfId="22" applyFont="1" applyBorder="1" applyAlignment="1">
      <alignment horizontal="left" vertical="top" wrapText="1"/>
    </xf>
    <xf numFmtId="0" fontId="58" fillId="0" borderId="0" xfId="22" applyFont="1" applyAlignment="1">
      <alignment horizontal="left" vertical="top" wrapText="1"/>
    </xf>
    <xf numFmtId="0" fontId="58" fillId="0" borderId="19" xfId="22" applyFont="1" applyBorder="1" applyAlignment="1">
      <alignment horizontal="left" vertical="top" wrapText="1"/>
    </xf>
    <xf numFmtId="0" fontId="58" fillId="0" borderId="20" xfId="22" applyFont="1" applyBorder="1" applyAlignment="1">
      <alignment horizontal="left" vertical="top" wrapText="1"/>
    </xf>
    <xf numFmtId="0" fontId="58" fillId="0" borderId="6" xfId="22" applyFont="1" applyBorder="1" applyAlignment="1">
      <alignment horizontal="left" vertical="top" wrapText="1"/>
    </xf>
    <xf numFmtId="0" fontId="58" fillId="0" borderId="21" xfId="22" applyFont="1" applyBorder="1" applyAlignment="1">
      <alignment horizontal="left" vertical="top" wrapText="1"/>
    </xf>
    <xf numFmtId="0" fontId="59" fillId="0" borderId="0" xfId="0" applyFont="1" applyAlignment="1">
      <alignment horizontal="left" wrapText="1"/>
    </xf>
    <xf numFmtId="0" fontId="59" fillId="0" borderId="0" xfId="0" applyFont="1" applyAlignment="1">
      <alignment horizontal="left"/>
    </xf>
    <xf numFmtId="0" fontId="59" fillId="0" borderId="0" xfId="0" applyFont="1" applyAlignment="1">
      <alignment horizontal="left" vertical="center" wrapText="1"/>
    </xf>
    <xf numFmtId="0" fontId="59" fillId="0" borderId="0" xfId="0" applyFont="1" applyAlignment="1">
      <alignment horizontal="left" vertical="center"/>
    </xf>
    <xf numFmtId="0" fontId="71" fillId="9" borderId="22" xfId="25" applyFont="1" applyFill="1" applyBorder="1" applyAlignment="1">
      <alignment vertical="center" wrapText="1"/>
    </xf>
    <xf numFmtId="0" fontId="71" fillId="9" borderId="27" xfId="25" applyFont="1" applyFill="1" applyBorder="1" applyAlignment="1">
      <alignment vertical="center" wrapText="1"/>
    </xf>
    <xf numFmtId="0" fontId="71" fillId="9" borderId="28" xfId="25" applyFont="1" applyFill="1" applyBorder="1" applyAlignment="1">
      <alignment vertical="center" wrapText="1"/>
    </xf>
    <xf numFmtId="0" fontId="71" fillId="9" borderId="29" xfId="25" applyFont="1" applyFill="1" applyBorder="1" applyAlignment="1">
      <alignment vertical="center" wrapText="1"/>
    </xf>
    <xf numFmtId="0" fontId="71" fillId="27" borderId="29" xfId="25" applyFont="1" applyFill="1" applyBorder="1" applyAlignment="1">
      <alignment horizontal="center" vertical="center"/>
    </xf>
    <xf numFmtId="0" fontId="71" fillId="27" borderId="31" xfId="25" applyFont="1" applyFill="1" applyBorder="1" applyAlignment="1">
      <alignment horizontal="center" vertical="center"/>
    </xf>
    <xf numFmtId="0" fontId="71" fillId="9" borderId="48" xfId="25" applyFont="1" applyFill="1" applyBorder="1" applyAlignment="1">
      <alignment horizontal="center" vertical="center" wrapText="1"/>
    </xf>
    <xf numFmtId="0" fontId="71" fillId="9" borderId="36" xfId="25" applyFont="1" applyFill="1" applyBorder="1" applyAlignment="1">
      <alignment horizontal="center" vertical="center" wrapText="1"/>
    </xf>
    <xf numFmtId="0" fontId="71" fillId="9" borderId="49" xfId="25" applyFont="1" applyFill="1" applyBorder="1" applyAlignment="1">
      <alignment horizontal="center" vertical="center" wrapText="1"/>
    </xf>
    <xf numFmtId="0" fontId="71" fillId="9" borderId="37" xfId="25" applyFont="1" applyFill="1" applyBorder="1" applyAlignment="1">
      <alignment horizontal="center" vertical="center" wrapText="1"/>
    </xf>
    <xf numFmtId="0" fontId="71" fillId="9" borderId="38" xfId="25" applyFont="1" applyFill="1" applyBorder="1" applyAlignment="1">
      <alignment horizontal="center" vertical="center" wrapText="1"/>
    </xf>
    <xf numFmtId="0" fontId="71" fillId="9" borderId="25" xfId="25" applyFont="1" applyFill="1" applyBorder="1" applyAlignment="1">
      <alignment horizontal="center" vertical="center" wrapText="1"/>
    </xf>
    <xf numFmtId="0" fontId="71" fillId="9" borderId="26" xfId="25" applyFont="1" applyFill="1" applyBorder="1" applyAlignment="1">
      <alignment horizontal="center" vertical="center" wrapText="1"/>
    </xf>
    <xf numFmtId="0" fontId="71" fillId="9" borderId="30" xfId="25" applyFont="1" applyFill="1" applyBorder="1" applyAlignment="1">
      <alignment horizontal="center" vertical="center" wrapText="1"/>
    </xf>
    <xf numFmtId="0" fontId="65" fillId="29" borderId="0" xfId="25" applyFont="1" applyFill="1" applyAlignment="1">
      <alignment horizontal="left" vertical="center" wrapText="1"/>
    </xf>
    <xf numFmtId="0" fontId="60" fillId="31" borderId="0" xfId="0" applyFont="1" applyFill="1" applyAlignment="1">
      <alignment horizontal="left" vertical="top" wrapText="1"/>
    </xf>
    <xf numFmtId="0" fontId="53" fillId="22" borderId="13" xfId="0" applyFont="1" applyFill="1" applyBorder="1" applyAlignment="1">
      <alignment horizontal="center" wrapText="1"/>
    </xf>
    <xf numFmtId="0" fontId="0" fillId="17" borderId="0" xfId="10" applyFont="1" applyFill="1" applyAlignment="1">
      <alignment horizontal="center"/>
    </xf>
    <xf numFmtId="0" fontId="28" fillId="13" borderId="0" xfId="10" applyFont="1" applyFill="1" applyAlignment="1">
      <alignment horizontal="center"/>
    </xf>
    <xf numFmtId="0" fontId="28" fillId="14" borderId="0" xfId="10" applyFont="1" applyFill="1" applyAlignment="1">
      <alignment horizontal="center"/>
    </xf>
    <xf numFmtId="0" fontId="28" fillId="5" borderId="0" xfId="10" applyFont="1" applyFill="1" applyAlignment="1">
      <alignment horizontal="center"/>
    </xf>
    <xf numFmtId="0" fontId="28" fillId="15" borderId="0" xfId="10" applyFont="1" applyFill="1" applyAlignment="1">
      <alignment horizontal="center"/>
    </xf>
    <xf numFmtId="0" fontId="28" fillId="16" borderId="0" xfId="10" applyFont="1" applyFill="1" applyAlignment="1">
      <alignment horizontal="center" vertical="center"/>
    </xf>
  </cellXfs>
  <cellStyles count="27">
    <cellStyle name="Comma 2" xfId="15" xr:uid="{A7AFEC12-096C-43B3-8EE5-1E82A021AA78}"/>
    <cellStyle name="Currency 2" xfId="13" xr:uid="{6A050938-05A5-4A82-A611-A3231CB812F1}"/>
    <cellStyle name="Hiperlink" xfId="3" builtinId="8"/>
    <cellStyle name="Input (estilo)" xfId="7" xr:uid="{927BBD0D-3479-4F71-AAC0-F2E956243436}"/>
    <cellStyle name="Normal" xfId="0" builtinId="0"/>
    <cellStyle name="Normal 18" xfId="22" xr:uid="{322E69E1-670C-4F21-BD18-8B3749AF0071}"/>
    <cellStyle name="Normal 18 2 3" xfId="23" xr:uid="{CD40A0D5-77BC-48FF-BFC4-42D527AF606F}"/>
    <cellStyle name="Normal 2" xfId="2" xr:uid="{2A230A9D-4E07-45B7-8EBA-4485DE7E6C09}"/>
    <cellStyle name="Normal 2 2" xfId="16" xr:uid="{1B2006FE-C1B7-4AF8-A08B-C381923E0877}"/>
    <cellStyle name="Normal 2 3" xfId="5" xr:uid="{0FED1DB1-E895-444D-853B-33AA82FBDB3C}"/>
    <cellStyle name="Normal 3" xfId="18" xr:uid="{5FAC3B0C-E0D1-4D68-99F7-4047018D3178}"/>
    <cellStyle name="Normal 3 2" xfId="17" xr:uid="{A1770C20-E4C6-40AD-94B5-9F2BD681B4D9}"/>
    <cellStyle name="Normal 4" xfId="20" xr:uid="{55A73B40-89FD-41FB-84EE-F17A542A3F00}"/>
    <cellStyle name="Normal 5" xfId="10" xr:uid="{783C4340-25A5-4555-921C-DDB4A67AD20E}"/>
    <cellStyle name="Normal 6" xfId="25" xr:uid="{97085523-674F-4C68-B09E-E2096915B7BA}"/>
    <cellStyle name="Normal 7" xfId="11" xr:uid="{A1086E27-A744-4A92-BB87-66FF08C4F54B}"/>
    <cellStyle name="Percent 2" xfId="12" xr:uid="{1185A747-1DDE-48D4-BC0A-7AE68FC2F909}"/>
    <cellStyle name="Porcentagem" xfId="1" builtinId="5"/>
    <cellStyle name="Porcentagem 2" xfId="9" xr:uid="{9C98BABA-2126-42FE-8486-0DC209B4C514}"/>
    <cellStyle name="Título0" xfId="6" xr:uid="{31AABB94-F6DF-4E25-8210-93E95193C3EE}"/>
    <cellStyle name="Título2" xfId="26" xr:uid="{4870A6D6-00BA-4CE4-8228-74CFFFC3338D}"/>
    <cellStyle name="Transferido" xfId="24" xr:uid="{73DC8BDE-6BD1-4918-A460-727F7E8DECA9}"/>
    <cellStyle name="Vírgula" xfId="4" builtinId="3"/>
    <cellStyle name="Vírgula 2" xfId="8" xr:uid="{BB1CF3D1-91C7-449E-A221-F3A24AA8E59D}"/>
    <cellStyle name="Vírgula 3" xfId="14" xr:uid="{58EFEE46-C2E3-4531-A595-60B59483AE58}"/>
    <cellStyle name="Vírgula 4" xfId="19" xr:uid="{F7021D2B-B6D1-4E1B-90C1-2940B2D5A44F}"/>
    <cellStyle name="Vírgula 5" xfId="21" xr:uid="{E7413CBF-6678-48CB-9F2A-7548FCF8E814}"/>
  </cellStyles>
  <dxfs count="16">
    <dxf>
      <font>
        <b val="0"/>
        <i val="0"/>
        <strike val="0"/>
        <condense val="0"/>
        <extend val="0"/>
        <outline val="0"/>
        <shadow val="0"/>
        <u val="none"/>
        <vertAlign val="baseline"/>
        <sz val="11"/>
        <color theme="1"/>
        <name val="Calibri"/>
        <family val="2"/>
        <scheme val="minor"/>
      </font>
    </dxf>
    <dxf>
      <numFmt numFmtId="164" formatCode="_(* #,##0.00_);_(* \(#,##0.00\);_(* &quot;-&quot;??_);_(@_)"/>
    </dxf>
    <dxf>
      <numFmt numFmtId="0" formatCode="General"/>
    </dxf>
    <dxf>
      <numFmt numFmtId="0" formatCode="General"/>
    </dxf>
    <dxf>
      <numFmt numFmtId="0" formatCode="Genera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dxf>
    <dxf>
      <alignment horizontal="general" vertical="bottom" textRotation="0" wrapText="1" indent="0" justifyLastLine="0" shrinkToFit="0" readingOrder="0"/>
    </dxf>
    <dxf>
      <fill>
        <patternFill>
          <bgColor theme="9" tint="0.59996337778862885"/>
        </patternFill>
      </fill>
    </dxf>
    <dxf>
      <fill>
        <patternFill>
          <bgColor rgb="FFFF0000"/>
        </patternFill>
      </fill>
    </dxf>
    <dxf>
      <fill>
        <patternFill>
          <bgColor theme="9"/>
        </patternFill>
      </fill>
    </dxf>
    <dxf>
      <fill>
        <patternFill>
          <bgColor theme="7" tint="0.39994506668294322"/>
        </patternFill>
      </fill>
    </dxf>
    <dxf>
      <fill>
        <patternFill>
          <bgColor rgb="FFC00000"/>
        </patternFill>
      </fill>
    </dxf>
  </dxfs>
  <tableStyles count="0" defaultTableStyle="TableStyleMedium2" defaultPivotStyle="PivotStyleLight16"/>
  <colors>
    <mruColors>
      <color rgb="FF000068"/>
      <color rgb="FF000060"/>
      <color rgb="FF0000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onnections" Target="connections.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36"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 Id="rId35" Type="http://schemas.openxmlformats.org/officeDocument/2006/relationships/customXml" Target="../customXml/item5.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_xlchart.v1.2</cx:f>
      </cx:numDim>
    </cx:data>
    <cx:data id="1">
      <cx:numDim type="val">
        <cx:f>_xlchart.v1.0</cx:f>
      </cx:numDim>
    </cx:data>
  </cx:chartData>
  <cx:chart>
    <cx:title pos="t" align="ctr" overlay="0">
      <cx:tx>
        <cx:txData>
          <cx:v>Opex (R$/m³)</cx:v>
        </cx:txData>
      </cx:tx>
      <cx:txPr>
        <a:bodyPr spcFirstLastPara="1" vertOverflow="ellipsis" horzOverflow="overflow" wrap="square" lIns="0" tIns="0" rIns="0" bIns="0" anchor="ctr" anchorCtr="1"/>
        <a:lstStyle/>
        <a:p>
          <a:pPr algn="ctr" rtl="0">
            <a:defRPr/>
          </a:pPr>
          <a:r>
            <a:rPr lang="pt-BR" sz="1400" b="0" i="0" u="none" strike="noStrike" baseline="0">
              <a:solidFill>
                <a:sysClr val="windowText" lastClr="000000">
                  <a:lumMod val="65000"/>
                  <a:lumOff val="35000"/>
                </a:sysClr>
              </a:solidFill>
              <a:latin typeface="Calibri" panose="020F0502020204030204"/>
            </a:rPr>
            <a:t>Opex (R$/m³)</a:t>
          </a:r>
        </a:p>
      </cx:txPr>
    </cx:title>
    <cx:plotArea>
      <cx:plotAreaRegion>
        <cx:series layoutId="boxWhisker" hidden="1" uniqueId="{E29CE6B6-D0E9-49A5-BF65-1ADD30159441}" formatIdx="0">
          <cx:tx>
            <cx:txData>
              <cx:f>_xlchart.v1.1</cx:f>
              <cx:v/>
            </cx:txData>
          </cx:tx>
          <cx:dataId val="0"/>
          <cx:layoutPr>
            <cx:visibility meanLine="0" meanMarker="1" nonoutliers="0" outliers="1"/>
            <cx:statistics quartileMethod="exclusive"/>
          </cx:layoutPr>
        </cx:series>
        <cx:series layoutId="boxWhisker" hidden="1" uniqueId="{00000001-D943-4ADF-B6F7-5F095FAF1920}" formatIdx="1">
          <cx:dataId val="1"/>
          <cx:layoutPr>
            <cx:statistics quartileMethod="exclusive"/>
          </cx:layoutPr>
        </cx:series>
      </cx:plotAreaRegion>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_xlchart.v1.4</cx:f>
      </cx:numDim>
    </cx:data>
  </cx:chartData>
  <cx:chart>
    <cx:title pos="t" align="ctr" overlay="0">
      <cx:tx>
        <cx:txData>
          <cx:v>Capex (R$/m³)</cx:v>
        </cx:txData>
      </cx:tx>
      <cx:txPr>
        <a:bodyPr spcFirstLastPara="1" vertOverflow="ellipsis" horzOverflow="overflow" wrap="square" lIns="0" tIns="0" rIns="0" bIns="0" anchor="ctr" anchorCtr="1"/>
        <a:lstStyle/>
        <a:p>
          <a:pPr algn="ctr" rtl="0">
            <a:defRPr/>
          </a:pPr>
          <a:r>
            <a:rPr lang="pt-BR" sz="1400" b="0" i="0" u="none" strike="noStrike" baseline="0">
              <a:solidFill>
                <a:sysClr val="windowText" lastClr="000000">
                  <a:lumMod val="65000"/>
                  <a:lumOff val="35000"/>
                </a:sysClr>
              </a:solidFill>
              <a:latin typeface="Calibri" panose="020F0502020204030204"/>
            </a:rPr>
            <a:t>Capex (R$/m³)</a:t>
          </a:r>
        </a:p>
      </cx:txPr>
    </cx:title>
    <cx:plotArea>
      <cx:plotAreaRegion>
        <cx:series layoutId="boxWhisker" hidden="1" uniqueId="{57708CA7-8BAC-409A-8676-03F110C09C52}" formatIdx="0">
          <cx:tx>
            <cx:txData>
              <cx:f>_xlchart.v1.3</cx:f>
              <cx:v/>
            </cx:txData>
          </cx:tx>
          <cx:dataId val="0"/>
          <cx:layoutPr>
            <cx:visibility meanLine="0" meanMarker="1" nonoutliers="0" outliers="1"/>
            <cx:statistics quartileMethod="exclusive"/>
          </cx:layoutPr>
        </cx:series>
      </cx:plotAreaRegion>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 dir="row">_xlchart.v1.5</cx:f>
      </cx:strDim>
      <cx:numDim type="val">
        <cx:f dir="row">_xlchart.v1.6</cx:f>
      </cx:numDim>
    </cx:data>
  </cx:chartData>
  <cx:chart>
    <cx:title pos="t" align="ctr" overlay="0">
      <cx:tx>
        <cx:txData>
          <cx:v>Composição Custo Unitário Pessoal</cx:v>
        </cx:txData>
      </cx:tx>
      <cx:txPr>
        <a:bodyPr spcFirstLastPara="1" vertOverflow="ellipsis" horzOverflow="overflow" wrap="square" lIns="0" tIns="0" rIns="0" bIns="0" anchor="ctr" anchorCtr="1"/>
        <a:lstStyle/>
        <a:p>
          <a:pPr algn="ctr" rtl="0">
            <a:defRPr/>
          </a:pPr>
          <a:r>
            <a:rPr lang="pt-BR" sz="1400" b="0" i="0" u="none" strike="noStrike" baseline="0">
              <a:solidFill>
                <a:sysClr val="windowText" lastClr="000000">
                  <a:lumMod val="65000"/>
                  <a:lumOff val="35000"/>
                </a:sysClr>
              </a:solidFill>
              <a:latin typeface="Calibri" panose="020F0502020204030204"/>
            </a:rPr>
            <a:t>Composição Custo Unitário Pessoal</a:t>
          </a:r>
        </a:p>
      </cx:txPr>
    </cx:title>
    <cx:plotArea>
      <cx:plotAreaRegion>
        <cx:series layoutId="waterfall" uniqueId="{DA9B1F3B-752B-42EF-BA6C-907D8EDB517F}" formatIdx="0">
          <cx:dataLabels pos="outEnd">
            <cx:visibility seriesName="0" categoryName="0" value="1"/>
          </cx:dataLabels>
          <cx:dataId val="0"/>
          <cx:layoutPr>
            <cx:subtotals>
              <cx:idx val="5"/>
            </cx:subtotals>
          </cx:layoutPr>
        </cx:series>
      </cx:plotAreaRegion>
      <cx:axis id="0">
        <cx:catScaling/>
        <cx:tickLabels/>
      </cx:axis>
      <cx:axis id="1">
        <cx:valScaling/>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numDim type="val">
        <cx:f>_xlchart.v1.11</cx:f>
      </cx:numDim>
    </cx:data>
    <cx:data id="1">
      <cx:numDim type="val">
        <cx:f>_xlchart.v1.9</cx:f>
      </cx:numDim>
    </cx:data>
  </cx:chartData>
  <cx:chart>
    <cx:title pos="t" align="ctr" overlay="0">
      <cx:tx>
        <cx:txData>
          <cx:v>Opex (R$/m³)</cx:v>
        </cx:txData>
      </cx:tx>
      <cx:txPr>
        <a:bodyPr spcFirstLastPara="1" vertOverflow="ellipsis" horzOverflow="overflow" wrap="square" lIns="0" tIns="0" rIns="0" bIns="0" anchor="ctr" anchorCtr="1"/>
        <a:lstStyle/>
        <a:p>
          <a:pPr algn="ctr" rtl="0">
            <a:defRPr/>
          </a:pPr>
          <a:r>
            <a:rPr lang="pt-BR" sz="1400" b="0" i="0" u="none" strike="noStrike" baseline="0">
              <a:solidFill>
                <a:sysClr val="windowText" lastClr="000000">
                  <a:lumMod val="65000"/>
                  <a:lumOff val="35000"/>
                </a:sysClr>
              </a:solidFill>
              <a:latin typeface="Calibri" panose="020F0502020204030204"/>
            </a:rPr>
            <a:t>Opex (R$/m³)</a:t>
          </a:r>
        </a:p>
      </cx:txPr>
    </cx:title>
    <cx:plotArea>
      <cx:plotAreaRegion>
        <cx:series layoutId="boxWhisker" uniqueId="{E29CE6B6-D0E9-49A5-BF65-1ADD30159441}">
          <cx:tx>
            <cx:txData>
              <cx:f>_xlchart.v1.10</cx:f>
              <cx:v>Opex inflacionado (R$/m³)</cx:v>
            </cx:txData>
          </cx:tx>
          <cx:dataId val="0"/>
          <cx:layoutPr>
            <cx:visibility meanLine="0" meanMarker="1" nonoutliers="0" outliers="1"/>
            <cx:statistics quartileMethod="exclusive"/>
          </cx:layoutPr>
        </cx:series>
        <cx:series layoutId="boxWhisker" uniqueId="{00000001-D943-4ADF-B6F7-5F095FAF1920}">
          <cx:dataId val="1"/>
          <cx:layoutPr>
            <cx:statistics quartileMethod="exclusive"/>
          </cx:layoutPr>
        </cx:series>
      </cx:plotAreaRegion>
      <cx:axis id="0" hidden="1">
        <cx:catScaling gapWidth="1"/>
        <cx:tickLabels/>
      </cx:axis>
      <cx:axis id="1">
        <cx:valScaling/>
        <cx:majorGridlines/>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numDim type="val">
        <cx:f>_xlchart.v1.8</cx:f>
      </cx:numDim>
    </cx:data>
  </cx:chartData>
  <cx:chart>
    <cx:title pos="t" align="ctr" overlay="0">
      <cx:tx>
        <cx:txData>
          <cx:v>Capex (R$/m³)</cx:v>
        </cx:txData>
      </cx:tx>
      <cx:txPr>
        <a:bodyPr spcFirstLastPara="1" vertOverflow="ellipsis" horzOverflow="overflow" wrap="square" lIns="0" tIns="0" rIns="0" bIns="0" anchor="ctr" anchorCtr="1"/>
        <a:lstStyle/>
        <a:p>
          <a:pPr algn="ctr" rtl="0">
            <a:defRPr/>
          </a:pPr>
          <a:r>
            <a:rPr lang="pt-BR" sz="1400" b="0" i="0" u="none" strike="noStrike" baseline="0">
              <a:solidFill>
                <a:sysClr val="windowText" lastClr="000000">
                  <a:lumMod val="65000"/>
                  <a:lumOff val="35000"/>
                </a:sysClr>
              </a:solidFill>
              <a:latin typeface="Calibri" panose="020F0502020204030204"/>
            </a:rPr>
            <a:t>Capex (R$/m³)</a:t>
          </a:r>
        </a:p>
      </cx:txPr>
    </cx:title>
    <cx:plotArea>
      <cx:plotAreaRegion>
        <cx:series layoutId="boxWhisker" uniqueId="{57708CA7-8BAC-409A-8676-03F110C09C52}">
          <cx:tx>
            <cx:txData>
              <cx:f>_xlchart.v1.7</cx:f>
              <cx:v>Capex inflacionado (MM R$)</cx:v>
            </cx:txData>
          </cx:tx>
          <cx:dataId val="0"/>
          <cx:layoutPr>
            <cx:visibility meanLine="0" meanMarker="1" nonoutliers="0" outliers="1"/>
            <cx:statistics quartileMethod="exclusive"/>
          </cx:layoutPr>
        </cx:series>
      </cx:plotAreaRegion>
      <cx:axis id="0" hidden="1">
        <cx:catScaling gapWidth="1"/>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microsoft.com/office/2014/relationships/chartEx" Target="../charts/chartEx3.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12.xml.rels><?xml version="1.0" encoding="UTF-8" standalone="yes"?>
<Relationships xmlns="http://schemas.openxmlformats.org/package/2006/relationships"><Relationship Id="rId2" Type="http://schemas.microsoft.com/office/2014/relationships/chartEx" Target="../charts/chartEx5.xml"/><Relationship Id="rId1" Type="http://schemas.microsoft.com/office/2014/relationships/chartEx" Target="../charts/chartEx4.xml"/></Relationships>
</file>

<file path=xl/drawings/_rels/drawing7.xml.rels><?xml version="1.0" encoding="UTF-8" standalone="yes"?>
<Relationships xmlns="http://schemas.openxmlformats.org/package/2006/relationships"><Relationship Id="rId2" Type="http://schemas.microsoft.com/office/2014/relationships/chartEx" Target="../charts/chartEx2.xml"/><Relationship Id="rId1" Type="http://schemas.microsoft.com/office/2014/relationships/chartEx" Target="../charts/chartEx1.xml"/></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19637</xdr:colOff>
      <xdr:row>1</xdr:row>
      <xdr:rowOff>92221</xdr:rowOff>
    </xdr:from>
    <xdr:to>
      <xdr:col>3</xdr:col>
      <xdr:colOff>196851</xdr:colOff>
      <xdr:row>5</xdr:row>
      <xdr:rowOff>64652</xdr:rowOff>
    </xdr:to>
    <xdr:pic>
      <xdr:nvPicPr>
        <xdr:cNvPr id="2" name="Picture 19" descr="Logo Sanepar – Logos PNG">
          <a:extLst>
            <a:ext uri="{FF2B5EF4-FFF2-40B4-BE49-F238E27FC236}">
              <a16:creationId xmlns:a16="http://schemas.microsoft.com/office/drawing/2014/main" id="{3EFA9857-6427-452F-BBDC-74C130FE0B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80" t="35780" r="-3380" b="35518"/>
        <a:stretch/>
      </xdr:blipFill>
      <xdr:spPr bwMode="auto">
        <a:xfrm>
          <a:off x="394287" y="485921"/>
          <a:ext cx="1186864" cy="689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288192" y="127001"/>
    <xdr:ext cx="1516540" cy="129540"/>
    <xdr:grpSp>
      <xdr:nvGrpSpPr>
        <xdr:cNvPr id="4" name="Agrupar 11">
          <a:extLst>
            <a:ext uri="{FF2B5EF4-FFF2-40B4-BE49-F238E27FC236}">
              <a16:creationId xmlns:a16="http://schemas.microsoft.com/office/drawing/2014/main" id="{76D6AC2A-5CFF-4DDC-A2B3-7C206A52FD9E}"/>
            </a:ext>
          </a:extLst>
        </xdr:cNvPr>
        <xdr:cNvGrpSpPr/>
      </xdr:nvGrpSpPr>
      <xdr:grpSpPr>
        <a:xfrm>
          <a:off x="288192" y="127001"/>
          <a:ext cx="1516540" cy="129540"/>
          <a:chOff x="8887890" y="11505511"/>
          <a:chExt cx="3620642" cy="289559"/>
        </a:xfrm>
        <a:solidFill>
          <a:schemeClr val="bg1"/>
        </a:solidFill>
      </xdr:grpSpPr>
      <xdr:sp macro="" textlink="">
        <xdr:nvSpPr>
          <xdr:cNvPr id="5" name="Forma Livre: Forma 12">
            <a:extLst>
              <a:ext uri="{FF2B5EF4-FFF2-40B4-BE49-F238E27FC236}">
                <a16:creationId xmlns:a16="http://schemas.microsoft.com/office/drawing/2014/main" id="{B610AF8D-0EBE-95A5-6943-AFB8BC998B46}"/>
              </a:ext>
            </a:extLst>
          </xdr:cNvPr>
          <xdr:cNvSpPr/>
        </xdr:nvSpPr>
        <xdr:spPr>
          <a:xfrm>
            <a:off x="8887890" y="11505511"/>
            <a:ext cx="316801" cy="282797"/>
          </a:xfrm>
          <a:custGeom>
            <a:avLst/>
            <a:gdLst>
              <a:gd name="connsiteX0" fmla="*/ 213932 w 316801"/>
              <a:gd name="connsiteY0" fmla="*/ 166688 h 282797"/>
              <a:gd name="connsiteX1" fmla="*/ 159639 w 316801"/>
              <a:gd name="connsiteY1" fmla="*/ 41815 h 282797"/>
              <a:gd name="connsiteX2" fmla="*/ 103061 w 316801"/>
              <a:gd name="connsiteY2" fmla="*/ 166688 h 282797"/>
              <a:gd name="connsiteX3" fmla="*/ 213932 w 316801"/>
              <a:gd name="connsiteY3" fmla="*/ 166688 h 282797"/>
              <a:gd name="connsiteX4" fmla="*/ 133445 w 316801"/>
              <a:gd name="connsiteY4" fmla="*/ 0 h 282797"/>
              <a:gd name="connsiteX5" fmla="*/ 188786 w 316801"/>
              <a:gd name="connsiteY5" fmla="*/ 0 h 282797"/>
              <a:gd name="connsiteX6" fmla="*/ 316802 w 316801"/>
              <a:gd name="connsiteY6" fmla="*/ 282797 h 282797"/>
              <a:gd name="connsiteX7" fmla="*/ 264414 w 316801"/>
              <a:gd name="connsiteY7" fmla="*/ 282797 h 282797"/>
              <a:gd name="connsiteX8" fmla="*/ 227266 w 316801"/>
              <a:gd name="connsiteY8" fmla="*/ 197453 h 282797"/>
              <a:gd name="connsiteX9" fmla="*/ 89154 w 316801"/>
              <a:gd name="connsiteY9" fmla="*/ 197453 h 282797"/>
              <a:gd name="connsiteX10" fmla="*/ 50482 w 316801"/>
              <a:gd name="connsiteY10" fmla="*/ 282797 h 282797"/>
              <a:gd name="connsiteX11" fmla="*/ 0 w 316801"/>
              <a:gd name="connsiteY11" fmla="*/ 282797 h 282797"/>
              <a:gd name="connsiteX12" fmla="*/ 133445 w 316801"/>
              <a:gd name="connsiteY12"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16801" h="282797">
                <a:moveTo>
                  <a:pt x="213932" y="166688"/>
                </a:moveTo>
                <a:lnTo>
                  <a:pt x="159639" y="41815"/>
                </a:lnTo>
                <a:lnTo>
                  <a:pt x="103061" y="166688"/>
                </a:lnTo>
                <a:lnTo>
                  <a:pt x="213932" y="166688"/>
                </a:lnTo>
                <a:close/>
                <a:moveTo>
                  <a:pt x="133445" y="0"/>
                </a:moveTo>
                <a:lnTo>
                  <a:pt x="188786" y="0"/>
                </a:lnTo>
                <a:lnTo>
                  <a:pt x="316802" y="282797"/>
                </a:lnTo>
                <a:lnTo>
                  <a:pt x="264414" y="282797"/>
                </a:lnTo>
                <a:lnTo>
                  <a:pt x="227266" y="197453"/>
                </a:lnTo>
                <a:lnTo>
                  <a:pt x="89154" y="197453"/>
                </a:lnTo>
                <a:lnTo>
                  <a:pt x="50482" y="282797"/>
                </a:lnTo>
                <a:lnTo>
                  <a:pt x="0" y="282797"/>
                </a:lnTo>
                <a:lnTo>
                  <a:pt x="13344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6" name="Forma Livre: Forma 13">
            <a:extLst>
              <a:ext uri="{FF2B5EF4-FFF2-40B4-BE49-F238E27FC236}">
                <a16:creationId xmlns:a16="http://schemas.microsoft.com/office/drawing/2014/main" id="{B5472DE3-0254-093F-D7D1-C219DA1665FD}"/>
              </a:ext>
            </a:extLst>
          </xdr:cNvPr>
          <xdr:cNvSpPr/>
        </xdr:nvSpPr>
        <xdr:spPr>
          <a:xfrm>
            <a:off x="9234505" y="11578377"/>
            <a:ext cx="167258" cy="209931"/>
          </a:xfrm>
          <a:custGeom>
            <a:avLst/>
            <a:gdLst>
              <a:gd name="connsiteX0" fmla="*/ 0 w 167258"/>
              <a:gd name="connsiteY0" fmla="*/ 0 h 209931"/>
              <a:gd name="connsiteX1" fmla="*/ 35909 w 167258"/>
              <a:gd name="connsiteY1" fmla="*/ 0 h 209931"/>
              <a:gd name="connsiteX2" fmla="*/ 35909 w 167258"/>
              <a:gd name="connsiteY2" fmla="*/ 184976 h 209931"/>
              <a:gd name="connsiteX3" fmla="*/ 167259 w 167258"/>
              <a:gd name="connsiteY3" fmla="*/ 184976 h 209931"/>
              <a:gd name="connsiteX4" fmla="*/ 167259 w 167258"/>
              <a:gd name="connsiteY4" fmla="*/ 209931 h 209931"/>
              <a:gd name="connsiteX5" fmla="*/ 0 w 167258"/>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258" h="209931">
                <a:moveTo>
                  <a:pt x="0" y="0"/>
                </a:moveTo>
                <a:lnTo>
                  <a:pt x="35909" y="0"/>
                </a:lnTo>
                <a:lnTo>
                  <a:pt x="35909" y="184976"/>
                </a:lnTo>
                <a:lnTo>
                  <a:pt x="167259" y="184976"/>
                </a:lnTo>
                <a:lnTo>
                  <a:pt x="167259"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7" name="Forma Livre: Forma 14">
            <a:extLst>
              <a:ext uri="{FF2B5EF4-FFF2-40B4-BE49-F238E27FC236}">
                <a16:creationId xmlns:a16="http://schemas.microsoft.com/office/drawing/2014/main" id="{AC89B623-96AF-3FEC-5175-7498EA27010F}"/>
              </a:ext>
            </a:extLst>
          </xdr:cNvPr>
          <xdr:cNvSpPr/>
        </xdr:nvSpPr>
        <xdr:spPr>
          <a:xfrm>
            <a:off x="9366140" y="11578377"/>
            <a:ext cx="229171" cy="209931"/>
          </a:xfrm>
          <a:custGeom>
            <a:avLst/>
            <a:gdLst>
              <a:gd name="connsiteX0" fmla="*/ 39338 w 229171"/>
              <a:gd name="connsiteY0" fmla="*/ 0 h 209931"/>
              <a:gd name="connsiteX1" fmla="*/ 114585 w 229171"/>
              <a:gd name="connsiteY1" fmla="*/ 178689 h 209931"/>
              <a:gd name="connsiteX2" fmla="*/ 189357 w 229171"/>
              <a:gd name="connsiteY2" fmla="*/ 0 h 209931"/>
              <a:gd name="connsiteX3" fmla="*/ 229171 w 229171"/>
              <a:gd name="connsiteY3" fmla="*/ 0 h 209931"/>
              <a:gd name="connsiteX4" fmla="*/ 133159 w 229171"/>
              <a:gd name="connsiteY4" fmla="*/ 209931 h 209931"/>
              <a:gd name="connsiteX5" fmla="*/ 95440 w 229171"/>
              <a:gd name="connsiteY5" fmla="*/ 209931 h 209931"/>
              <a:gd name="connsiteX6" fmla="*/ 0 w 229171"/>
              <a:gd name="connsiteY6"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9171" h="209931">
                <a:moveTo>
                  <a:pt x="39338" y="0"/>
                </a:moveTo>
                <a:lnTo>
                  <a:pt x="114585" y="178689"/>
                </a:lnTo>
                <a:lnTo>
                  <a:pt x="189357" y="0"/>
                </a:lnTo>
                <a:lnTo>
                  <a:pt x="229171" y="0"/>
                </a:lnTo>
                <a:lnTo>
                  <a:pt x="133159" y="209931"/>
                </a:lnTo>
                <a:lnTo>
                  <a:pt x="95440" y="209931"/>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8" name="Forma Livre: Forma 15">
            <a:extLst>
              <a:ext uri="{FF2B5EF4-FFF2-40B4-BE49-F238E27FC236}">
                <a16:creationId xmlns:a16="http://schemas.microsoft.com/office/drawing/2014/main" id="{2338FCF4-D7FC-CE88-8192-CB9AF9CDA42B}"/>
              </a:ext>
            </a:extLst>
          </xdr:cNvPr>
          <xdr:cNvSpPr/>
        </xdr:nvSpPr>
        <xdr:spPr>
          <a:xfrm>
            <a:off x="9549115" y="11578377"/>
            <a:ext cx="234315" cy="209931"/>
          </a:xfrm>
          <a:custGeom>
            <a:avLst/>
            <a:gdLst>
              <a:gd name="connsiteX0" fmla="*/ 157639 w 234315"/>
              <a:gd name="connsiteY0" fmla="*/ 123635 h 209931"/>
              <a:gd name="connsiteX1" fmla="*/ 117348 w 234315"/>
              <a:gd name="connsiteY1" fmla="*/ 31052 h 209931"/>
              <a:gd name="connsiteX2" fmla="*/ 75438 w 234315"/>
              <a:gd name="connsiteY2" fmla="*/ 123635 h 209931"/>
              <a:gd name="connsiteX3" fmla="*/ 157639 w 234315"/>
              <a:gd name="connsiteY3" fmla="*/ 123635 h 209931"/>
              <a:gd name="connsiteX4" fmla="*/ 98965 w 234315"/>
              <a:gd name="connsiteY4" fmla="*/ 0 h 209931"/>
              <a:gd name="connsiteX5" fmla="*/ 139065 w 234315"/>
              <a:gd name="connsiteY5" fmla="*/ 0 h 209931"/>
              <a:gd name="connsiteX6" fmla="*/ 234315 w 234315"/>
              <a:gd name="connsiteY6" fmla="*/ 209931 h 209931"/>
              <a:gd name="connsiteX7" fmla="*/ 195358 w 234315"/>
              <a:gd name="connsiteY7" fmla="*/ 209931 h 209931"/>
              <a:gd name="connsiteX8" fmla="*/ 167736 w 234315"/>
              <a:gd name="connsiteY8" fmla="*/ 146685 h 209931"/>
              <a:gd name="connsiteX9" fmla="*/ 65056 w 234315"/>
              <a:gd name="connsiteY9" fmla="*/ 146685 h 209931"/>
              <a:gd name="connsiteX10" fmla="*/ 36481 w 234315"/>
              <a:gd name="connsiteY10" fmla="*/ 209931 h 209931"/>
              <a:gd name="connsiteX11" fmla="*/ 0 w 234315"/>
              <a:gd name="connsiteY11" fmla="*/ 209931 h 209931"/>
              <a:gd name="connsiteX12" fmla="*/ 98965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639" y="123635"/>
                </a:moveTo>
                <a:lnTo>
                  <a:pt x="117348" y="31052"/>
                </a:lnTo>
                <a:lnTo>
                  <a:pt x="75438" y="123635"/>
                </a:lnTo>
                <a:lnTo>
                  <a:pt x="157639" y="123635"/>
                </a:lnTo>
                <a:close/>
                <a:moveTo>
                  <a:pt x="98965" y="0"/>
                </a:moveTo>
                <a:lnTo>
                  <a:pt x="139065" y="0"/>
                </a:lnTo>
                <a:lnTo>
                  <a:pt x="234315" y="209931"/>
                </a:lnTo>
                <a:lnTo>
                  <a:pt x="195358" y="209931"/>
                </a:lnTo>
                <a:lnTo>
                  <a:pt x="167736"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9" name="Forma Livre: Forma 16">
            <a:extLst>
              <a:ext uri="{FF2B5EF4-FFF2-40B4-BE49-F238E27FC236}">
                <a16:creationId xmlns:a16="http://schemas.microsoft.com/office/drawing/2014/main" id="{E9F8E379-3A56-A6C0-3486-F70F4F7F080B}"/>
              </a:ext>
            </a:extLst>
          </xdr:cNvPr>
          <xdr:cNvSpPr/>
        </xdr:nvSpPr>
        <xdr:spPr>
          <a:xfrm>
            <a:off x="9811815" y="11578377"/>
            <a:ext cx="213836" cy="209835"/>
          </a:xfrm>
          <a:custGeom>
            <a:avLst/>
            <a:gdLst>
              <a:gd name="connsiteX0" fmla="*/ 115158 w 213836"/>
              <a:gd name="connsiteY0" fmla="*/ 96298 h 209835"/>
              <a:gd name="connsiteX1" fmla="*/ 153258 w 213836"/>
              <a:gd name="connsiteY1" fmla="*/ 88297 h 209835"/>
              <a:gd name="connsiteX2" fmla="*/ 167259 w 213836"/>
              <a:gd name="connsiteY2" fmla="*/ 59627 h 209835"/>
              <a:gd name="connsiteX3" fmla="*/ 147638 w 213836"/>
              <a:gd name="connsiteY3" fmla="*/ 29146 h 209835"/>
              <a:gd name="connsiteX4" fmla="*/ 119634 w 213836"/>
              <a:gd name="connsiteY4" fmla="*/ 24860 h 209835"/>
              <a:gd name="connsiteX5" fmla="*/ 35909 w 213836"/>
              <a:gd name="connsiteY5" fmla="*/ 24860 h 209835"/>
              <a:gd name="connsiteX6" fmla="*/ 35909 w 213836"/>
              <a:gd name="connsiteY6" fmla="*/ 96298 h 209835"/>
              <a:gd name="connsiteX7" fmla="*/ 115158 w 213836"/>
              <a:gd name="connsiteY7" fmla="*/ 96298 h 209835"/>
              <a:gd name="connsiteX8" fmla="*/ 0 w 213836"/>
              <a:gd name="connsiteY8" fmla="*/ 0 h 209835"/>
              <a:gd name="connsiteX9" fmla="*/ 119063 w 213836"/>
              <a:gd name="connsiteY9" fmla="*/ 0 h 209835"/>
              <a:gd name="connsiteX10" fmla="*/ 167450 w 213836"/>
              <a:gd name="connsiteY10" fmla="*/ 6953 h 209835"/>
              <a:gd name="connsiteX11" fmla="*/ 203740 w 213836"/>
              <a:gd name="connsiteY11" fmla="*/ 56674 h 209835"/>
              <a:gd name="connsiteX12" fmla="*/ 193929 w 213836"/>
              <a:gd name="connsiteY12" fmla="*/ 87439 h 209835"/>
              <a:gd name="connsiteX13" fmla="*/ 166497 w 213836"/>
              <a:gd name="connsiteY13" fmla="*/ 106775 h 209835"/>
              <a:gd name="connsiteX14" fmla="*/ 189738 w 213836"/>
              <a:gd name="connsiteY14" fmla="*/ 119920 h 209835"/>
              <a:gd name="connsiteX15" fmla="*/ 198406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49 w 213836"/>
              <a:gd name="connsiteY22" fmla="*/ 186404 h 209835"/>
              <a:gd name="connsiteX23" fmla="*/ 163544 w 213836"/>
              <a:gd name="connsiteY23" fmla="*/ 151257 h 209835"/>
              <a:gd name="connsiteX24" fmla="*/ 145066 w 213836"/>
              <a:gd name="connsiteY24" fmla="*/ 123635 h 209835"/>
              <a:gd name="connsiteX25" fmla="*/ 114205 w 213836"/>
              <a:gd name="connsiteY25" fmla="*/ 119729 h 209835"/>
              <a:gd name="connsiteX26" fmla="*/ 36005 w 213836"/>
              <a:gd name="connsiteY26" fmla="*/ 119729 h 209835"/>
              <a:gd name="connsiteX27" fmla="*/ 36005 w 213836"/>
              <a:gd name="connsiteY27" fmla="*/ 209836 h 209835"/>
              <a:gd name="connsiteX28" fmla="*/ 95 w 213836"/>
              <a:gd name="connsiteY28" fmla="*/ 209836 h 209835"/>
              <a:gd name="connsiteX29" fmla="*/ 95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158" y="96298"/>
                </a:moveTo>
                <a:cubicBezTo>
                  <a:pt x="131255" y="96298"/>
                  <a:pt x="143923" y="93631"/>
                  <a:pt x="153258" y="88297"/>
                </a:cubicBezTo>
                <a:cubicBezTo>
                  <a:pt x="162687" y="82963"/>
                  <a:pt x="167259" y="73343"/>
                  <a:pt x="167259" y="59627"/>
                </a:cubicBezTo>
                <a:cubicBezTo>
                  <a:pt x="167259" y="44672"/>
                  <a:pt x="160782" y="34480"/>
                  <a:pt x="147638" y="29146"/>
                </a:cubicBezTo>
                <a:cubicBezTo>
                  <a:pt x="140684" y="26289"/>
                  <a:pt x="131255" y="24860"/>
                  <a:pt x="119634" y="24860"/>
                </a:cubicBezTo>
                <a:lnTo>
                  <a:pt x="35909" y="24860"/>
                </a:lnTo>
                <a:lnTo>
                  <a:pt x="35909" y="96298"/>
                </a:lnTo>
                <a:lnTo>
                  <a:pt x="115158" y="96298"/>
                </a:lnTo>
                <a:close/>
                <a:moveTo>
                  <a:pt x="0" y="0"/>
                </a:moveTo>
                <a:lnTo>
                  <a:pt x="119063" y="0"/>
                </a:lnTo>
                <a:cubicBezTo>
                  <a:pt x="138684" y="0"/>
                  <a:pt x="154781" y="2286"/>
                  <a:pt x="167450" y="6953"/>
                </a:cubicBezTo>
                <a:cubicBezTo>
                  <a:pt x="191643" y="16002"/>
                  <a:pt x="203740" y="32576"/>
                  <a:pt x="203740" y="56674"/>
                </a:cubicBezTo>
                <a:cubicBezTo>
                  <a:pt x="203740" y="69247"/>
                  <a:pt x="200501" y="79438"/>
                  <a:pt x="193929" y="87439"/>
                </a:cubicBezTo>
                <a:cubicBezTo>
                  <a:pt x="187357" y="95440"/>
                  <a:pt x="178213" y="101918"/>
                  <a:pt x="166497" y="106775"/>
                </a:cubicBezTo>
                <a:cubicBezTo>
                  <a:pt x="176879" y="110109"/>
                  <a:pt x="184595" y="114395"/>
                  <a:pt x="189738" y="119920"/>
                </a:cubicBezTo>
                <a:cubicBezTo>
                  <a:pt x="194977" y="125349"/>
                  <a:pt x="197834" y="134112"/>
                  <a:pt x="198406" y="146304"/>
                </a:cubicBezTo>
                <a:lnTo>
                  <a:pt x="199930" y="174403"/>
                </a:lnTo>
                <a:cubicBezTo>
                  <a:pt x="200311" y="182404"/>
                  <a:pt x="201073" y="188404"/>
                  <a:pt x="202406" y="192214"/>
                </a:cubicBezTo>
                <a:cubicBezTo>
                  <a:pt x="204597" y="198882"/>
                  <a:pt x="208312" y="203168"/>
                  <a:pt x="213836" y="204978"/>
                </a:cubicBezTo>
                <a:lnTo>
                  <a:pt x="213836" y="209836"/>
                </a:lnTo>
                <a:lnTo>
                  <a:pt x="169831" y="209836"/>
                </a:lnTo>
                <a:cubicBezTo>
                  <a:pt x="168688" y="208026"/>
                  <a:pt x="167735" y="205740"/>
                  <a:pt x="167069" y="202787"/>
                </a:cubicBezTo>
                <a:cubicBezTo>
                  <a:pt x="166402" y="199930"/>
                  <a:pt x="165831" y="194405"/>
                  <a:pt x="165449" y="186404"/>
                </a:cubicBezTo>
                <a:lnTo>
                  <a:pt x="163544" y="151257"/>
                </a:lnTo>
                <a:cubicBezTo>
                  <a:pt x="162783" y="137446"/>
                  <a:pt x="156591" y="128302"/>
                  <a:pt x="145066" y="123635"/>
                </a:cubicBezTo>
                <a:cubicBezTo>
                  <a:pt x="138494" y="120968"/>
                  <a:pt x="128207" y="119729"/>
                  <a:pt x="114205" y="119729"/>
                </a:cubicBezTo>
                <a:lnTo>
                  <a:pt x="36005" y="119729"/>
                </a:lnTo>
                <a:lnTo>
                  <a:pt x="36005" y="209836"/>
                </a:lnTo>
                <a:lnTo>
                  <a:pt x="95" y="209836"/>
                </a:lnTo>
                <a:lnTo>
                  <a:pt x="9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0" name="Forma Livre: Forma 17">
            <a:extLst>
              <a:ext uri="{FF2B5EF4-FFF2-40B4-BE49-F238E27FC236}">
                <a16:creationId xmlns:a16="http://schemas.microsoft.com/office/drawing/2014/main" id="{6F3DBEDA-2F38-A64D-A82B-B9980DEFD0B6}"/>
              </a:ext>
            </a:extLst>
          </xdr:cNvPr>
          <xdr:cNvSpPr/>
        </xdr:nvSpPr>
        <xdr:spPr>
          <a:xfrm>
            <a:off x="10052797" y="11578377"/>
            <a:ext cx="168497" cy="209931"/>
          </a:xfrm>
          <a:custGeom>
            <a:avLst/>
            <a:gdLst>
              <a:gd name="connsiteX0" fmla="*/ 0 w 168497"/>
              <a:gd name="connsiteY0" fmla="*/ 0 h 209931"/>
              <a:gd name="connsiteX1" fmla="*/ 166878 w 168497"/>
              <a:gd name="connsiteY1" fmla="*/ 0 h 209931"/>
              <a:gd name="connsiteX2" fmla="*/ 166878 w 168497"/>
              <a:gd name="connsiteY2" fmla="*/ 25337 h 209931"/>
              <a:gd name="connsiteX3" fmla="*/ 30004 w 168497"/>
              <a:gd name="connsiteY3" fmla="*/ 25337 h 209931"/>
              <a:gd name="connsiteX4" fmla="*/ 30004 w 168497"/>
              <a:gd name="connsiteY4" fmla="*/ 89059 h 209931"/>
              <a:gd name="connsiteX5" fmla="*/ 156496 w 168497"/>
              <a:gd name="connsiteY5" fmla="*/ 89059 h 209931"/>
              <a:gd name="connsiteX6" fmla="*/ 156496 w 168497"/>
              <a:gd name="connsiteY6" fmla="*/ 113919 h 209931"/>
              <a:gd name="connsiteX7" fmla="*/ 30004 w 168497"/>
              <a:gd name="connsiteY7" fmla="*/ 113919 h 209931"/>
              <a:gd name="connsiteX8" fmla="*/ 30004 w 168497"/>
              <a:gd name="connsiteY8" fmla="*/ 184976 h 209931"/>
              <a:gd name="connsiteX9" fmla="*/ 168497 w 168497"/>
              <a:gd name="connsiteY9" fmla="*/ 184976 h 209931"/>
              <a:gd name="connsiteX10" fmla="*/ 168497 w 168497"/>
              <a:gd name="connsiteY10" fmla="*/ 209931 h 209931"/>
              <a:gd name="connsiteX11" fmla="*/ 0 w 168497"/>
              <a:gd name="connsiteY11"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8497" h="209931">
                <a:moveTo>
                  <a:pt x="0" y="0"/>
                </a:moveTo>
                <a:lnTo>
                  <a:pt x="166878" y="0"/>
                </a:lnTo>
                <a:lnTo>
                  <a:pt x="166878" y="25337"/>
                </a:lnTo>
                <a:lnTo>
                  <a:pt x="30004" y="25337"/>
                </a:lnTo>
                <a:lnTo>
                  <a:pt x="30004" y="89059"/>
                </a:lnTo>
                <a:lnTo>
                  <a:pt x="156496" y="89059"/>
                </a:lnTo>
                <a:lnTo>
                  <a:pt x="156496" y="113919"/>
                </a:lnTo>
                <a:lnTo>
                  <a:pt x="30004" y="113919"/>
                </a:lnTo>
                <a:lnTo>
                  <a:pt x="30004" y="184976"/>
                </a:lnTo>
                <a:lnTo>
                  <a:pt x="168497" y="184976"/>
                </a:lnTo>
                <a:lnTo>
                  <a:pt x="168497"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1" name="Forma Livre: Forma 18">
            <a:extLst>
              <a:ext uri="{FF2B5EF4-FFF2-40B4-BE49-F238E27FC236}">
                <a16:creationId xmlns:a16="http://schemas.microsoft.com/office/drawing/2014/main" id="{A2E5EA15-9E55-B3AB-B631-524ED0ADD26C}"/>
              </a:ext>
            </a:extLst>
          </xdr:cNvPr>
          <xdr:cNvSpPr/>
        </xdr:nvSpPr>
        <xdr:spPr>
          <a:xfrm>
            <a:off x="10254442" y="11578377"/>
            <a:ext cx="206120" cy="209931"/>
          </a:xfrm>
          <a:custGeom>
            <a:avLst/>
            <a:gdLst>
              <a:gd name="connsiteX0" fmla="*/ 0 w 206120"/>
              <a:gd name="connsiteY0" fmla="*/ 186404 h 209931"/>
              <a:gd name="connsiteX1" fmla="*/ 160972 w 206120"/>
              <a:gd name="connsiteY1" fmla="*/ 24860 h 209931"/>
              <a:gd name="connsiteX2" fmla="*/ 12001 w 206120"/>
              <a:gd name="connsiteY2" fmla="*/ 24860 h 209931"/>
              <a:gd name="connsiteX3" fmla="*/ 12001 w 206120"/>
              <a:gd name="connsiteY3" fmla="*/ 0 h 209931"/>
              <a:gd name="connsiteX4" fmla="*/ 206121 w 206120"/>
              <a:gd name="connsiteY4" fmla="*/ 0 h 209931"/>
              <a:gd name="connsiteX5" fmla="*/ 206121 w 206120"/>
              <a:gd name="connsiteY5" fmla="*/ 24289 h 209931"/>
              <a:gd name="connsiteX6" fmla="*/ 44672 w 206120"/>
              <a:gd name="connsiteY6" fmla="*/ 184976 h 209931"/>
              <a:gd name="connsiteX7" fmla="*/ 206121 w 206120"/>
              <a:gd name="connsiteY7" fmla="*/ 184976 h 209931"/>
              <a:gd name="connsiteX8" fmla="*/ 206121 w 206120"/>
              <a:gd name="connsiteY8" fmla="*/ 209931 h 209931"/>
              <a:gd name="connsiteX9" fmla="*/ 0 w 206120"/>
              <a:gd name="connsiteY9"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06120" h="209931">
                <a:moveTo>
                  <a:pt x="0" y="186404"/>
                </a:moveTo>
                <a:lnTo>
                  <a:pt x="160972" y="24860"/>
                </a:lnTo>
                <a:lnTo>
                  <a:pt x="12001" y="24860"/>
                </a:lnTo>
                <a:lnTo>
                  <a:pt x="12001" y="0"/>
                </a:lnTo>
                <a:lnTo>
                  <a:pt x="206121" y="0"/>
                </a:lnTo>
                <a:lnTo>
                  <a:pt x="206121" y="24289"/>
                </a:lnTo>
                <a:lnTo>
                  <a:pt x="44672" y="184976"/>
                </a:lnTo>
                <a:lnTo>
                  <a:pt x="206121" y="184976"/>
                </a:lnTo>
                <a:lnTo>
                  <a:pt x="206121"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2" name="Forma Livre: Forma 19">
            <a:extLst>
              <a:ext uri="{FF2B5EF4-FFF2-40B4-BE49-F238E27FC236}">
                <a16:creationId xmlns:a16="http://schemas.microsoft.com/office/drawing/2014/main" id="{4C178039-CA58-75F0-7F00-080B3CDA95DE}"/>
              </a:ext>
            </a:extLst>
          </xdr:cNvPr>
          <xdr:cNvSpPr/>
        </xdr:nvSpPr>
        <xdr:spPr>
          <a:xfrm>
            <a:off x="10590198" y="11506463"/>
            <a:ext cx="294893" cy="288607"/>
          </a:xfrm>
          <a:custGeom>
            <a:avLst/>
            <a:gdLst>
              <a:gd name="connsiteX0" fmla="*/ 150686 w 294893"/>
              <a:gd name="connsiteY0" fmla="*/ 89344 h 288607"/>
              <a:gd name="connsiteX1" fmla="*/ 164878 w 294893"/>
              <a:gd name="connsiteY1" fmla="*/ 60293 h 288607"/>
              <a:gd name="connsiteX2" fmla="*/ 154591 w 294893"/>
              <a:gd name="connsiteY2" fmla="*/ 38767 h 288607"/>
              <a:gd name="connsiteX3" fmla="*/ 126682 w 294893"/>
              <a:gd name="connsiteY3" fmla="*/ 29623 h 288607"/>
              <a:gd name="connsiteX4" fmla="*/ 89630 w 294893"/>
              <a:gd name="connsiteY4" fmla="*/ 43910 h 288607"/>
              <a:gd name="connsiteX5" fmla="*/ 84296 w 294893"/>
              <a:gd name="connsiteY5" fmla="*/ 59817 h 288607"/>
              <a:gd name="connsiteX6" fmla="*/ 92392 w 294893"/>
              <a:gd name="connsiteY6" fmla="*/ 82296 h 288607"/>
              <a:gd name="connsiteX7" fmla="*/ 119348 w 294893"/>
              <a:gd name="connsiteY7" fmla="*/ 110395 h 288607"/>
              <a:gd name="connsiteX8" fmla="*/ 150686 w 294893"/>
              <a:gd name="connsiteY8" fmla="*/ 89344 h 288607"/>
              <a:gd name="connsiteX9" fmla="*/ 154114 w 294893"/>
              <a:gd name="connsiteY9" fmla="*/ 248983 h 288607"/>
              <a:gd name="connsiteX10" fmla="*/ 183546 w 294893"/>
              <a:gd name="connsiteY10" fmla="*/ 227076 h 288607"/>
              <a:gd name="connsiteX11" fmla="*/ 103727 w 294893"/>
              <a:gd name="connsiteY11" fmla="*/ 149257 h 288607"/>
              <a:gd name="connsiteX12" fmla="*/ 59817 w 294893"/>
              <a:gd name="connsiteY12" fmla="*/ 176879 h 288607"/>
              <a:gd name="connsiteX13" fmla="*/ 44101 w 294893"/>
              <a:gd name="connsiteY13" fmla="*/ 212026 h 288607"/>
              <a:gd name="connsiteX14" fmla="*/ 64579 w 294893"/>
              <a:gd name="connsiteY14" fmla="*/ 246697 h 288607"/>
              <a:gd name="connsiteX15" fmla="*/ 108395 w 294893"/>
              <a:gd name="connsiteY15" fmla="*/ 258699 h 288607"/>
              <a:gd name="connsiteX16" fmla="*/ 154114 w 294893"/>
              <a:gd name="connsiteY16" fmla="*/ 248983 h 288607"/>
              <a:gd name="connsiteX17" fmla="*/ 49816 w 294893"/>
              <a:gd name="connsiteY17" fmla="*/ 90964 h 288607"/>
              <a:gd name="connsiteX18" fmla="*/ 42196 w 294893"/>
              <a:gd name="connsiteY18" fmla="*/ 63722 h 288607"/>
              <a:gd name="connsiteX19" fmla="*/ 65246 w 294893"/>
              <a:gd name="connsiteY19" fmla="*/ 18193 h 288607"/>
              <a:gd name="connsiteX20" fmla="*/ 127063 w 294893"/>
              <a:gd name="connsiteY20" fmla="*/ 0 h 288607"/>
              <a:gd name="connsiteX21" fmla="*/ 184499 w 294893"/>
              <a:gd name="connsiteY21" fmla="*/ 16859 h 288607"/>
              <a:gd name="connsiteX22" fmla="*/ 205264 w 294893"/>
              <a:gd name="connsiteY22" fmla="*/ 57150 h 288607"/>
              <a:gd name="connsiteX23" fmla="*/ 183832 w 294893"/>
              <a:gd name="connsiteY23" fmla="*/ 104965 h 288607"/>
              <a:gd name="connsiteX24" fmla="*/ 142018 w 294893"/>
              <a:gd name="connsiteY24" fmla="*/ 132588 h 288607"/>
              <a:gd name="connsiteX25" fmla="*/ 206407 w 294893"/>
              <a:gd name="connsiteY25" fmla="*/ 194024 h 288607"/>
              <a:gd name="connsiteX26" fmla="*/ 214693 w 294893"/>
              <a:gd name="connsiteY26" fmla="*/ 170974 h 288607"/>
              <a:gd name="connsiteX27" fmla="*/ 219456 w 294893"/>
              <a:gd name="connsiteY27" fmla="*/ 149542 h 288607"/>
              <a:gd name="connsiteX28" fmla="*/ 261651 w 294893"/>
              <a:gd name="connsiteY28" fmla="*/ 149542 h 288607"/>
              <a:gd name="connsiteX29" fmla="*/ 245269 w 294893"/>
              <a:gd name="connsiteY29" fmla="*/ 201739 h 288607"/>
              <a:gd name="connsiteX30" fmla="*/ 233076 w 294893"/>
              <a:gd name="connsiteY30" fmla="*/ 221837 h 288607"/>
              <a:gd name="connsiteX31" fmla="*/ 294894 w 294893"/>
              <a:gd name="connsiteY31" fmla="*/ 281940 h 288607"/>
              <a:gd name="connsiteX32" fmla="*/ 240030 w 294893"/>
              <a:gd name="connsiteY32" fmla="*/ 281940 h 288607"/>
              <a:gd name="connsiteX33" fmla="*/ 206883 w 294893"/>
              <a:gd name="connsiteY33" fmla="*/ 250412 h 288607"/>
              <a:gd name="connsiteX34" fmla="*/ 170783 w 294893"/>
              <a:gd name="connsiteY34" fmla="*/ 274987 h 288607"/>
              <a:gd name="connsiteX35" fmla="*/ 104965 w 294893"/>
              <a:gd name="connsiteY35" fmla="*/ 288607 h 288607"/>
              <a:gd name="connsiteX36" fmla="*/ 24860 w 294893"/>
              <a:gd name="connsiteY36" fmla="*/ 264890 h 288607"/>
              <a:gd name="connsiteX37" fmla="*/ 0 w 294893"/>
              <a:gd name="connsiteY37" fmla="*/ 211741 h 288607"/>
              <a:gd name="connsiteX38" fmla="*/ 24289 w 294893"/>
              <a:gd name="connsiteY38" fmla="*/ 158401 h 288607"/>
              <a:gd name="connsiteX39" fmla="*/ 79724 w 294893"/>
              <a:gd name="connsiteY39" fmla="*/ 125825 h 288607"/>
              <a:gd name="connsiteX40" fmla="*/ 49816 w 294893"/>
              <a:gd name="connsiteY40" fmla="*/ 90964 h 2886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294893" h="288607">
                <a:moveTo>
                  <a:pt x="150686" y="89344"/>
                </a:moveTo>
                <a:cubicBezTo>
                  <a:pt x="160115" y="80486"/>
                  <a:pt x="164878" y="70866"/>
                  <a:pt x="164878" y="60293"/>
                </a:cubicBezTo>
                <a:cubicBezTo>
                  <a:pt x="164878" y="51911"/>
                  <a:pt x="161544" y="44767"/>
                  <a:pt x="154591" y="38767"/>
                </a:cubicBezTo>
                <a:cubicBezTo>
                  <a:pt x="147732" y="32671"/>
                  <a:pt x="138398" y="29623"/>
                  <a:pt x="126682" y="29623"/>
                </a:cubicBezTo>
                <a:cubicBezTo>
                  <a:pt x="108871" y="29623"/>
                  <a:pt x="96583" y="34385"/>
                  <a:pt x="89630" y="43910"/>
                </a:cubicBezTo>
                <a:cubicBezTo>
                  <a:pt x="86106" y="48673"/>
                  <a:pt x="84296" y="54007"/>
                  <a:pt x="84296" y="59817"/>
                </a:cubicBezTo>
                <a:cubicBezTo>
                  <a:pt x="84296" y="67627"/>
                  <a:pt x="86963" y="75247"/>
                  <a:pt x="92392" y="82296"/>
                </a:cubicBezTo>
                <a:cubicBezTo>
                  <a:pt x="97821" y="89440"/>
                  <a:pt x="106775" y="98774"/>
                  <a:pt x="119348" y="110395"/>
                </a:cubicBezTo>
                <a:cubicBezTo>
                  <a:pt x="134588" y="101632"/>
                  <a:pt x="144970" y="94679"/>
                  <a:pt x="150686" y="89344"/>
                </a:cubicBezTo>
                <a:moveTo>
                  <a:pt x="154114" y="248983"/>
                </a:moveTo>
                <a:cubicBezTo>
                  <a:pt x="166878" y="242506"/>
                  <a:pt x="176689" y="235172"/>
                  <a:pt x="183546" y="227076"/>
                </a:cubicBezTo>
                <a:lnTo>
                  <a:pt x="103727" y="149257"/>
                </a:lnTo>
                <a:cubicBezTo>
                  <a:pt x="81343" y="161258"/>
                  <a:pt x="66675" y="170497"/>
                  <a:pt x="59817" y="176879"/>
                </a:cubicBezTo>
                <a:cubicBezTo>
                  <a:pt x="49244" y="186499"/>
                  <a:pt x="44101" y="198215"/>
                  <a:pt x="44101" y="212026"/>
                </a:cubicBezTo>
                <a:cubicBezTo>
                  <a:pt x="44101" y="226981"/>
                  <a:pt x="50863" y="238601"/>
                  <a:pt x="64579" y="246697"/>
                </a:cubicBezTo>
                <a:cubicBezTo>
                  <a:pt x="78200" y="254698"/>
                  <a:pt x="92869" y="258699"/>
                  <a:pt x="108395" y="258699"/>
                </a:cubicBezTo>
                <a:cubicBezTo>
                  <a:pt x="126111" y="258699"/>
                  <a:pt x="141351" y="255556"/>
                  <a:pt x="154114" y="248983"/>
                </a:cubicBezTo>
                <a:moveTo>
                  <a:pt x="49816" y="90964"/>
                </a:moveTo>
                <a:cubicBezTo>
                  <a:pt x="44767" y="81534"/>
                  <a:pt x="42196" y="72390"/>
                  <a:pt x="42196" y="63722"/>
                </a:cubicBezTo>
                <a:cubicBezTo>
                  <a:pt x="42196" y="45529"/>
                  <a:pt x="49911" y="30289"/>
                  <a:pt x="65246" y="18193"/>
                </a:cubicBezTo>
                <a:cubicBezTo>
                  <a:pt x="80581" y="6001"/>
                  <a:pt x="101251" y="0"/>
                  <a:pt x="127063" y="0"/>
                </a:cubicBezTo>
                <a:cubicBezTo>
                  <a:pt x="151543" y="0"/>
                  <a:pt x="170688" y="5620"/>
                  <a:pt x="184499" y="16859"/>
                </a:cubicBezTo>
                <a:cubicBezTo>
                  <a:pt x="198311" y="28099"/>
                  <a:pt x="205264" y="41624"/>
                  <a:pt x="205264" y="57150"/>
                </a:cubicBezTo>
                <a:cubicBezTo>
                  <a:pt x="205264" y="75343"/>
                  <a:pt x="198120" y="91154"/>
                  <a:pt x="183832" y="104965"/>
                </a:cubicBezTo>
                <a:cubicBezTo>
                  <a:pt x="175450" y="112871"/>
                  <a:pt x="161639" y="122015"/>
                  <a:pt x="142018" y="132588"/>
                </a:cubicBezTo>
                <a:lnTo>
                  <a:pt x="206407" y="194024"/>
                </a:lnTo>
                <a:cubicBezTo>
                  <a:pt x="210407" y="183737"/>
                  <a:pt x="213074" y="176022"/>
                  <a:pt x="214693" y="170974"/>
                </a:cubicBezTo>
                <a:cubicBezTo>
                  <a:pt x="216312" y="165830"/>
                  <a:pt x="217837" y="158782"/>
                  <a:pt x="219456" y="149542"/>
                </a:cubicBezTo>
                <a:lnTo>
                  <a:pt x="261651" y="149542"/>
                </a:lnTo>
                <a:cubicBezTo>
                  <a:pt x="258985" y="167735"/>
                  <a:pt x="253555" y="185071"/>
                  <a:pt x="245269" y="201739"/>
                </a:cubicBezTo>
                <a:cubicBezTo>
                  <a:pt x="237077" y="218313"/>
                  <a:pt x="233076" y="224980"/>
                  <a:pt x="233076" y="221837"/>
                </a:cubicBezTo>
                <a:lnTo>
                  <a:pt x="294894" y="281940"/>
                </a:lnTo>
                <a:lnTo>
                  <a:pt x="240030" y="281940"/>
                </a:lnTo>
                <a:lnTo>
                  <a:pt x="206883" y="250412"/>
                </a:lnTo>
                <a:cubicBezTo>
                  <a:pt x="193738" y="261652"/>
                  <a:pt x="181737" y="269843"/>
                  <a:pt x="170783" y="274987"/>
                </a:cubicBezTo>
                <a:cubicBezTo>
                  <a:pt x="151733" y="284131"/>
                  <a:pt x="129826" y="288607"/>
                  <a:pt x="104965" y="288607"/>
                </a:cubicBezTo>
                <a:cubicBezTo>
                  <a:pt x="68199" y="288607"/>
                  <a:pt x="41624" y="280702"/>
                  <a:pt x="24860" y="264890"/>
                </a:cubicBezTo>
                <a:cubicBezTo>
                  <a:pt x="8287" y="249079"/>
                  <a:pt x="0" y="231362"/>
                  <a:pt x="0" y="211741"/>
                </a:cubicBezTo>
                <a:cubicBezTo>
                  <a:pt x="0" y="190309"/>
                  <a:pt x="8001" y="172593"/>
                  <a:pt x="24289" y="158401"/>
                </a:cubicBezTo>
                <a:cubicBezTo>
                  <a:pt x="34194" y="149828"/>
                  <a:pt x="52673" y="138874"/>
                  <a:pt x="79724" y="125825"/>
                </a:cubicBezTo>
                <a:cubicBezTo>
                  <a:pt x="64865" y="112014"/>
                  <a:pt x="54864" y="100393"/>
                  <a:pt x="49816" y="90964"/>
                </a:cubicBezTo>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3" name="Forma Livre: Forma 20">
            <a:extLst>
              <a:ext uri="{FF2B5EF4-FFF2-40B4-BE49-F238E27FC236}">
                <a16:creationId xmlns:a16="http://schemas.microsoft.com/office/drawing/2014/main" id="{B77E24B4-5655-D594-1626-260809B2C7C1}"/>
              </a:ext>
            </a:extLst>
          </xdr:cNvPr>
          <xdr:cNvSpPr/>
        </xdr:nvSpPr>
        <xdr:spPr>
          <a:xfrm>
            <a:off x="11003964" y="11505511"/>
            <a:ext cx="338422" cy="282797"/>
          </a:xfrm>
          <a:custGeom>
            <a:avLst/>
            <a:gdLst>
              <a:gd name="connsiteX0" fmla="*/ 95 w 338422"/>
              <a:gd name="connsiteY0" fmla="*/ 0 h 282797"/>
              <a:gd name="connsiteX1" fmla="*/ 68008 w 338422"/>
              <a:gd name="connsiteY1" fmla="*/ 0 h 282797"/>
              <a:gd name="connsiteX2" fmla="*/ 169354 w 338422"/>
              <a:gd name="connsiteY2" fmla="*/ 239078 h 282797"/>
              <a:gd name="connsiteX3" fmla="*/ 270891 w 338422"/>
              <a:gd name="connsiteY3" fmla="*/ 0 h 282797"/>
              <a:gd name="connsiteX4" fmla="*/ 338423 w 338422"/>
              <a:gd name="connsiteY4" fmla="*/ 0 h 282797"/>
              <a:gd name="connsiteX5" fmla="*/ 338423 w 338422"/>
              <a:gd name="connsiteY5" fmla="*/ 282797 h 282797"/>
              <a:gd name="connsiteX6" fmla="*/ 293370 w 338422"/>
              <a:gd name="connsiteY6" fmla="*/ 282797 h 282797"/>
              <a:gd name="connsiteX7" fmla="*/ 293370 w 338422"/>
              <a:gd name="connsiteY7" fmla="*/ 115729 h 282797"/>
              <a:gd name="connsiteX8" fmla="*/ 294418 w 338422"/>
              <a:gd name="connsiteY8" fmla="*/ 87058 h 282797"/>
              <a:gd name="connsiteX9" fmla="*/ 295275 w 338422"/>
              <a:gd name="connsiteY9" fmla="*/ 44101 h 282797"/>
              <a:gd name="connsiteX10" fmla="*/ 192786 w 338422"/>
              <a:gd name="connsiteY10" fmla="*/ 282797 h 282797"/>
              <a:gd name="connsiteX11" fmla="*/ 145256 w 338422"/>
              <a:gd name="connsiteY11" fmla="*/ 282797 h 282797"/>
              <a:gd name="connsiteX12" fmla="*/ 43148 w 338422"/>
              <a:gd name="connsiteY12" fmla="*/ 44101 h 282797"/>
              <a:gd name="connsiteX13" fmla="*/ 43148 w 338422"/>
              <a:gd name="connsiteY13" fmla="*/ 52864 h 282797"/>
              <a:gd name="connsiteX14" fmla="*/ 44101 w 338422"/>
              <a:gd name="connsiteY14" fmla="*/ 84582 h 282797"/>
              <a:gd name="connsiteX15" fmla="*/ 45053 w 338422"/>
              <a:gd name="connsiteY15" fmla="*/ 115729 h 282797"/>
              <a:gd name="connsiteX16" fmla="*/ 45053 w 338422"/>
              <a:gd name="connsiteY16" fmla="*/ 282797 h 282797"/>
              <a:gd name="connsiteX17" fmla="*/ 0 w 338422"/>
              <a:gd name="connsiteY17" fmla="*/ 282797 h 282797"/>
              <a:gd name="connsiteX18" fmla="*/ 0 w 338422"/>
              <a:gd name="connsiteY18"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338422" h="282797">
                <a:moveTo>
                  <a:pt x="95" y="0"/>
                </a:moveTo>
                <a:lnTo>
                  <a:pt x="68008" y="0"/>
                </a:lnTo>
                <a:lnTo>
                  <a:pt x="169354" y="239078"/>
                </a:lnTo>
                <a:lnTo>
                  <a:pt x="270891" y="0"/>
                </a:lnTo>
                <a:lnTo>
                  <a:pt x="338423" y="0"/>
                </a:lnTo>
                <a:lnTo>
                  <a:pt x="338423" y="282797"/>
                </a:lnTo>
                <a:lnTo>
                  <a:pt x="293370" y="282797"/>
                </a:lnTo>
                <a:lnTo>
                  <a:pt x="293370" y="115729"/>
                </a:lnTo>
                <a:cubicBezTo>
                  <a:pt x="293370" y="110014"/>
                  <a:pt x="293751" y="100394"/>
                  <a:pt x="294418" y="87058"/>
                </a:cubicBezTo>
                <a:cubicBezTo>
                  <a:pt x="294989" y="73723"/>
                  <a:pt x="295275" y="59341"/>
                  <a:pt x="295275" y="44101"/>
                </a:cubicBezTo>
                <a:lnTo>
                  <a:pt x="192786" y="282797"/>
                </a:lnTo>
                <a:lnTo>
                  <a:pt x="145256" y="282797"/>
                </a:lnTo>
                <a:lnTo>
                  <a:pt x="43148" y="44101"/>
                </a:lnTo>
                <a:lnTo>
                  <a:pt x="43148" y="52864"/>
                </a:lnTo>
                <a:cubicBezTo>
                  <a:pt x="43148" y="59722"/>
                  <a:pt x="43529" y="70295"/>
                  <a:pt x="44101" y="84582"/>
                </a:cubicBezTo>
                <a:cubicBezTo>
                  <a:pt x="44767" y="98774"/>
                  <a:pt x="45053" y="109156"/>
                  <a:pt x="45053" y="115729"/>
                </a:cubicBezTo>
                <a:lnTo>
                  <a:pt x="45053" y="282797"/>
                </a:lnTo>
                <a:lnTo>
                  <a:pt x="0" y="282797"/>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4" name="Forma Livre: Forma 21">
            <a:extLst>
              <a:ext uri="{FF2B5EF4-FFF2-40B4-BE49-F238E27FC236}">
                <a16:creationId xmlns:a16="http://schemas.microsoft.com/office/drawing/2014/main" id="{302D56E9-B30E-0466-71A9-C3BA7996666F}"/>
              </a:ext>
            </a:extLst>
          </xdr:cNvPr>
          <xdr:cNvSpPr/>
        </xdr:nvSpPr>
        <xdr:spPr>
          <a:xfrm>
            <a:off x="11369914" y="11578377"/>
            <a:ext cx="234314" cy="209931"/>
          </a:xfrm>
          <a:custGeom>
            <a:avLst/>
            <a:gdLst>
              <a:gd name="connsiteX0" fmla="*/ 157829 w 234314"/>
              <a:gd name="connsiteY0" fmla="*/ 123635 h 209931"/>
              <a:gd name="connsiteX1" fmla="*/ 117443 w 234314"/>
              <a:gd name="connsiteY1" fmla="*/ 31052 h 209931"/>
              <a:gd name="connsiteX2" fmla="*/ 75533 w 234314"/>
              <a:gd name="connsiteY2" fmla="*/ 123635 h 209931"/>
              <a:gd name="connsiteX3" fmla="*/ 157829 w 234314"/>
              <a:gd name="connsiteY3" fmla="*/ 123635 h 209931"/>
              <a:gd name="connsiteX4" fmla="*/ 98965 w 234314"/>
              <a:gd name="connsiteY4" fmla="*/ 0 h 209931"/>
              <a:gd name="connsiteX5" fmla="*/ 139065 w 234314"/>
              <a:gd name="connsiteY5" fmla="*/ 0 h 209931"/>
              <a:gd name="connsiteX6" fmla="*/ 234315 w 234314"/>
              <a:gd name="connsiteY6" fmla="*/ 209931 h 209931"/>
              <a:gd name="connsiteX7" fmla="*/ 195358 w 234314"/>
              <a:gd name="connsiteY7" fmla="*/ 209931 h 209931"/>
              <a:gd name="connsiteX8" fmla="*/ 167830 w 234314"/>
              <a:gd name="connsiteY8" fmla="*/ 146685 h 209931"/>
              <a:gd name="connsiteX9" fmla="*/ 65056 w 234314"/>
              <a:gd name="connsiteY9" fmla="*/ 146685 h 209931"/>
              <a:gd name="connsiteX10" fmla="*/ 36481 w 234314"/>
              <a:gd name="connsiteY10" fmla="*/ 209931 h 209931"/>
              <a:gd name="connsiteX11" fmla="*/ 0 w 234314"/>
              <a:gd name="connsiteY11" fmla="*/ 209931 h 209931"/>
              <a:gd name="connsiteX12" fmla="*/ 98965 w 234314"/>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4" h="209931">
                <a:moveTo>
                  <a:pt x="157829" y="123635"/>
                </a:moveTo>
                <a:lnTo>
                  <a:pt x="117443" y="31052"/>
                </a:lnTo>
                <a:lnTo>
                  <a:pt x="75533" y="123635"/>
                </a:lnTo>
                <a:lnTo>
                  <a:pt x="157829" y="123635"/>
                </a:lnTo>
                <a:close/>
                <a:moveTo>
                  <a:pt x="98965" y="0"/>
                </a:moveTo>
                <a:lnTo>
                  <a:pt x="139065" y="0"/>
                </a:lnTo>
                <a:lnTo>
                  <a:pt x="234315" y="209931"/>
                </a:lnTo>
                <a:lnTo>
                  <a:pt x="195358" y="209931"/>
                </a:lnTo>
                <a:lnTo>
                  <a:pt x="167830"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5" name="Forma Livre: Forma 22">
            <a:extLst>
              <a:ext uri="{FF2B5EF4-FFF2-40B4-BE49-F238E27FC236}">
                <a16:creationId xmlns:a16="http://schemas.microsoft.com/office/drawing/2014/main" id="{2DDF0F7E-F9B7-5DAC-317F-AE9CB3290381}"/>
              </a:ext>
            </a:extLst>
          </xdr:cNvPr>
          <xdr:cNvSpPr/>
        </xdr:nvSpPr>
        <xdr:spPr>
          <a:xfrm>
            <a:off x="11635090" y="11578377"/>
            <a:ext cx="213836" cy="209835"/>
          </a:xfrm>
          <a:custGeom>
            <a:avLst/>
            <a:gdLst>
              <a:gd name="connsiteX0" fmla="*/ 115253 w 213836"/>
              <a:gd name="connsiteY0" fmla="*/ 96298 h 209835"/>
              <a:gd name="connsiteX1" fmla="*/ 153448 w 213836"/>
              <a:gd name="connsiteY1" fmla="*/ 88297 h 209835"/>
              <a:gd name="connsiteX2" fmla="*/ 167450 w 213836"/>
              <a:gd name="connsiteY2" fmla="*/ 59627 h 209835"/>
              <a:gd name="connsiteX3" fmla="*/ 147828 w 213836"/>
              <a:gd name="connsiteY3" fmla="*/ 29146 h 209835"/>
              <a:gd name="connsiteX4" fmla="*/ 119825 w 213836"/>
              <a:gd name="connsiteY4" fmla="*/ 24860 h 209835"/>
              <a:gd name="connsiteX5" fmla="*/ 36005 w 213836"/>
              <a:gd name="connsiteY5" fmla="*/ 24860 h 209835"/>
              <a:gd name="connsiteX6" fmla="*/ 36005 w 213836"/>
              <a:gd name="connsiteY6" fmla="*/ 96298 h 209835"/>
              <a:gd name="connsiteX7" fmla="*/ 115253 w 213836"/>
              <a:gd name="connsiteY7" fmla="*/ 96298 h 209835"/>
              <a:gd name="connsiteX8" fmla="*/ 95 w 213836"/>
              <a:gd name="connsiteY8" fmla="*/ 0 h 209835"/>
              <a:gd name="connsiteX9" fmla="*/ 119158 w 213836"/>
              <a:gd name="connsiteY9" fmla="*/ 0 h 209835"/>
              <a:gd name="connsiteX10" fmla="*/ 167640 w 213836"/>
              <a:gd name="connsiteY10" fmla="*/ 6953 h 209835"/>
              <a:gd name="connsiteX11" fmla="*/ 203835 w 213836"/>
              <a:gd name="connsiteY11" fmla="*/ 56674 h 209835"/>
              <a:gd name="connsiteX12" fmla="*/ 194025 w 213836"/>
              <a:gd name="connsiteY12" fmla="*/ 87439 h 209835"/>
              <a:gd name="connsiteX13" fmla="*/ 166593 w 213836"/>
              <a:gd name="connsiteY13" fmla="*/ 106775 h 209835"/>
              <a:gd name="connsiteX14" fmla="*/ 189738 w 213836"/>
              <a:gd name="connsiteY14" fmla="*/ 119920 h 209835"/>
              <a:gd name="connsiteX15" fmla="*/ 198501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50 w 213836"/>
              <a:gd name="connsiteY22" fmla="*/ 186404 h 209835"/>
              <a:gd name="connsiteX23" fmla="*/ 163545 w 213836"/>
              <a:gd name="connsiteY23" fmla="*/ 151257 h 209835"/>
              <a:gd name="connsiteX24" fmla="*/ 145066 w 213836"/>
              <a:gd name="connsiteY24" fmla="*/ 123635 h 209835"/>
              <a:gd name="connsiteX25" fmla="*/ 114110 w 213836"/>
              <a:gd name="connsiteY25" fmla="*/ 119729 h 209835"/>
              <a:gd name="connsiteX26" fmla="*/ 35909 w 213836"/>
              <a:gd name="connsiteY26" fmla="*/ 119729 h 209835"/>
              <a:gd name="connsiteX27" fmla="*/ 35909 w 213836"/>
              <a:gd name="connsiteY27" fmla="*/ 209836 h 209835"/>
              <a:gd name="connsiteX28" fmla="*/ 0 w 213836"/>
              <a:gd name="connsiteY28" fmla="*/ 209836 h 209835"/>
              <a:gd name="connsiteX29" fmla="*/ 0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253" y="96298"/>
                </a:moveTo>
                <a:cubicBezTo>
                  <a:pt x="131350" y="96298"/>
                  <a:pt x="144019" y="93631"/>
                  <a:pt x="153448" y="88297"/>
                </a:cubicBezTo>
                <a:cubicBezTo>
                  <a:pt x="162783" y="82963"/>
                  <a:pt x="167450" y="73343"/>
                  <a:pt x="167450" y="59627"/>
                </a:cubicBezTo>
                <a:cubicBezTo>
                  <a:pt x="167450" y="44672"/>
                  <a:pt x="160877" y="34480"/>
                  <a:pt x="147828" y="29146"/>
                </a:cubicBezTo>
                <a:cubicBezTo>
                  <a:pt x="140875" y="26289"/>
                  <a:pt x="131445" y="24860"/>
                  <a:pt x="119825" y="24860"/>
                </a:cubicBezTo>
                <a:lnTo>
                  <a:pt x="36005" y="24860"/>
                </a:lnTo>
                <a:lnTo>
                  <a:pt x="36005" y="96298"/>
                </a:lnTo>
                <a:lnTo>
                  <a:pt x="115253" y="96298"/>
                </a:lnTo>
                <a:close/>
                <a:moveTo>
                  <a:pt x="95" y="0"/>
                </a:moveTo>
                <a:lnTo>
                  <a:pt x="119158" y="0"/>
                </a:lnTo>
                <a:cubicBezTo>
                  <a:pt x="138779" y="0"/>
                  <a:pt x="154972" y="2286"/>
                  <a:pt x="167640" y="6953"/>
                </a:cubicBezTo>
                <a:cubicBezTo>
                  <a:pt x="191834" y="16002"/>
                  <a:pt x="203835" y="32576"/>
                  <a:pt x="203835" y="56674"/>
                </a:cubicBezTo>
                <a:cubicBezTo>
                  <a:pt x="203835" y="69247"/>
                  <a:pt x="200596" y="79438"/>
                  <a:pt x="194025" y="87439"/>
                </a:cubicBezTo>
                <a:cubicBezTo>
                  <a:pt x="187453" y="95440"/>
                  <a:pt x="178308" y="101918"/>
                  <a:pt x="166593" y="106775"/>
                </a:cubicBezTo>
                <a:cubicBezTo>
                  <a:pt x="176879" y="110109"/>
                  <a:pt x="184595" y="114395"/>
                  <a:pt x="189738" y="119920"/>
                </a:cubicBezTo>
                <a:cubicBezTo>
                  <a:pt x="194977" y="125349"/>
                  <a:pt x="197834" y="134112"/>
                  <a:pt x="198501" y="146304"/>
                </a:cubicBezTo>
                <a:lnTo>
                  <a:pt x="199930" y="174403"/>
                </a:lnTo>
                <a:cubicBezTo>
                  <a:pt x="200311" y="182404"/>
                  <a:pt x="201073" y="188404"/>
                  <a:pt x="202406" y="192214"/>
                </a:cubicBezTo>
                <a:cubicBezTo>
                  <a:pt x="204597" y="198882"/>
                  <a:pt x="208407" y="203168"/>
                  <a:pt x="213836" y="204978"/>
                </a:cubicBezTo>
                <a:lnTo>
                  <a:pt x="213836" y="209836"/>
                </a:lnTo>
                <a:lnTo>
                  <a:pt x="169831" y="209836"/>
                </a:lnTo>
                <a:cubicBezTo>
                  <a:pt x="168688" y="208026"/>
                  <a:pt x="167736" y="205740"/>
                  <a:pt x="167069" y="202787"/>
                </a:cubicBezTo>
                <a:cubicBezTo>
                  <a:pt x="166497" y="199930"/>
                  <a:pt x="165831" y="194405"/>
                  <a:pt x="165450" y="186404"/>
                </a:cubicBezTo>
                <a:lnTo>
                  <a:pt x="163545" y="151257"/>
                </a:lnTo>
                <a:cubicBezTo>
                  <a:pt x="162687" y="137446"/>
                  <a:pt x="156591" y="128302"/>
                  <a:pt x="145066" y="123635"/>
                </a:cubicBezTo>
                <a:cubicBezTo>
                  <a:pt x="138494" y="120968"/>
                  <a:pt x="128207" y="119729"/>
                  <a:pt x="114110" y="119729"/>
                </a:cubicBezTo>
                <a:lnTo>
                  <a:pt x="35909" y="119729"/>
                </a:lnTo>
                <a:lnTo>
                  <a:pt x="35909" y="209836"/>
                </a:lnTo>
                <a:lnTo>
                  <a:pt x="0" y="209836"/>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6" name="Forma Livre: Forma 23">
            <a:extLst>
              <a:ext uri="{FF2B5EF4-FFF2-40B4-BE49-F238E27FC236}">
                <a16:creationId xmlns:a16="http://schemas.microsoft.com/office/drawing/2014/main" id="{8731518D-0D3D-FDD8-C28E-00A4EAC9993E}"/>
              </a:ext>
            </a:extLst>
          </xdr:cNvPr>
          <xdr:cNvSpPr/>
        </xdr:nvSpPr>
        <xdr:spPr>
          <a:xfrm>
            <a:off x="11870161" y="11573614"/>
            <a:ext cx="203841" cy="220789"/>
          </a:xfrm>
          <a:custGeom>
            <a:avLst/>
            <a:gdLst>
              <a:gd name="connsiteX0" fmla="*/ 33725 w 203841"/>
              <a:gd name="connsiteY0" fmla="*/ 146971 h 220789"/>
              <a:gd name="connsiteX1" fmla="*/ 43822 w 203841"/>
              <a:gd name="connsiteY1" fmla="*/ 176022 h 220789"/>
              <a:gd name="connsiteX2" fmla="*/ 103638 w 203841"/>
              <a:gd name="connsiteY2" fmla="*/ 196977 h 220789"/>
              <a:gd name="connsiteX3" fmla="*/ 138691 w 203841"/>
              <a:gd name="connsiteY3" fmla="*/ 192310 h 220789"/>
              <a:gd name="connsiteX4" fmla="*/ 169266 w 203841"/>
              <a:gd name="connsiteY4" fmla="*/ 160782 h 220789"/>
              <a:gd name="connsiteX5" fmla="*/ 156216 w 203841"/>
              <a:gd name="connsiteY5" fmla="*/ 136303 h 220789"/>
              <a:gd name="connsiteX6" fmla="*/ 115068 w 203841"/>
              <a:gd name="connsiteY6" fmla="*/ 123920 h 220789"/>
              <a:gd name="connsiteX7" fmla="*/ 80493 w 203841"/>
              <a:gd name="connsiteY7" fmla="*/ 117538 h 220789"/>
              <a:gd name="connsiteX8" fmla="*/ 32868 w 203841"/>
              <a:gd name="connsiteY8" fmla="*/ 103727 h 220789"/>
              <a:gd name="connsiteX9" fmla="*/ 8674 w 203841"/>
              <a:gd name="connsiteY9" fmla="*/ 64484 h 220789"/>
              <a:gd name="connsiteX10" fmla="*/ 32487 w 203841"/>
              <a:gd name="connsiteY10" fmla="*/ 18097 h 220789"/>
              <a:gd name="connsiteX11" fmla="*/ 99924 w 203841"/>
              <a:gd name="connsiteY11" fmla="*/ 0 h 220789"/>
              <a:gd name="connsiteX12" fmla="*/ 168123 w 203841"/>
              <a:gd name="connsiteY12" fmla="*/ 15907 h 220789"/>
              <a:gd name="connsiteX13" fmla="*/ 196126 w 203841"/>
              <a:gd name="connsiteY13" fmla="*/ 66675 h 220789"/>
              <a:gd name="connsiteX14" fmla="*/ 162503 w 203841"/>
              <a:gd name="connsiteY14" fmla="*/ 66675 h 220789"/>
              <a:gd name="connsiteX15" fmla="*/ 151549 w 203841"/>
              <a:gd name="connsiteY15" fmla="*/ 40862 h 220789"/>
              <a:gd name="connsiteX16" fmla="*/ 98781 w 203841"/>
              <a:gd name="connsiteY16" fmla="*/ 24479 h 220789"/>
              <a:gd name="connsiteX17" fmla="*/ 55442 w 203841"/>
              <a:gd name="connsiteY17" fmla="*/ 35052 h 220789"/>
              <a:gd name="connsiteX18" fmla="*/ 42298 w 203841"/>
              <a:gd name="connsiteY18" fmla="*/ 59627 h 220789"/>
              <a:gd name="connsiteX19" fmla="*/ 57823 w 203841"/>
              <a:gd name="connsiteY19" fmla="*/ 82105 h 220789"/>
              <a:gd name="connsiteX20" fmla="*/ 104020 w 203841"/>
              <a:gd name="connsiteY20" fmla="*/ 93536 h 220789"/>
              <a:gd name="connsiteX21" fmla="*/ 139643 w 203841"/>
              <a:gd name="connsiteY21" fmla="*/ 100013 h 220789"/>
              <a:gd name="connsiteX22" fmla="*/ 179553 w 203841"/>
              <a:gd name="connsiteY22" fmla="*/ 113538 h 220789"/>
              <a:gd name="connsiteX23" fmla="*/ 203841 w 203841"/>
              <a:gd name="connsiteY23" fmla="*/ 156020 h 220789"/>
              <a:gd name="connsiteX24" fmla="*/ 172981 w 203841"/>
              <a:gd name="connsiteY24" fmla="*/ 205835 h 220789"/>
              <a:gd name="connsiteX25" fmla="*/ 101162 w 203841"/>
              <a:gd name="connsiteY25" fmla="*/ 220789 h 220789"/>
              <a:gd name="connsiteX26" fmla="*/ 26486 w 203841"/>
              <a:gd name="connsiteY26" fmla="*/ 200787 h 220789"/>
              <a:gd name="connsiteX27" fmla="*/ 7 w 203841"/>
              <a:gd name="connsiteY27" fmla="*/ 146971 h 220789"/>
              <a:gd name="connsiteX28" fmla="*/ 33725 w 203841"/>
              <a:gd name="connsiteY28" fmla="*/ 146971 h 2207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203841" h="220789">
                <a:moveTo>
                  <a:pt x="33725" y="146971"/>
                </a:moveTo>
                <a:cubicBezTo>
                  <a:pt x="34392" y="158972"/>
                  <a:pt x="37916" y="168593"/>
                  <a:pt x="43822" y="176022"/>
                </a:cubicBezTo>
                <a:cubicBezTo>
                  <a:pt x="55156" y="189929"/>
                  <a:pt x="75159" y="196977"/>
                  <a:pt x="103638" y="196977"/>
                </a:cubicBezTo>
                <a:cubicBezTo>
                  <a:pt x="116497" y="196977"/>
                  <a:pt x="128118" y="195453"/>
                  <a:pt x="138691" y="192310"/>
                </a:cubicBezTo>
                <a:cubicBezTo>
                  <a:pt x="159074" y="186595"/>
                  <a:pt x="169266" y="176022"/>
                  <a:pt x="169266" y="160782"/>
                </a:cubicBezTo>
                <a:cubicBezTo>
                  <a:pt x="169266" y="149352"/>
                  <a:pt x="164885" y="141161"/>
                  <a:pt x="156216" y="136303"/>
                </a:cubicBezTo>
                <a:cubicBezTo>
                  <a:pt x="147454" y="131540"/>
                  <a:pt x="133833" y="127445"/>
                  <a:pt x="115068" y="123920"/>
                </a:cubicBezTo>
                <a:lnTo>
                  <a:pt x="80493" y="117538"/>
                </a:lnTo>
                <a:cubicBezTo>
                  <a:pt x="58014" y="113347"/>
                  <a:pt x="42107" y="108776"/>
                  <a:pt x="32868" y="103727"/>
                </a:cubicBezTo>
                <a:cubicBezTo>
                  <a:pt x="16676" y="94964"/>
                  <a:pt x="8674" y="81820"/>
                  <a:pt x="8674" y="64484"/>
                </a:cubicBezTo>
                <a:cubicBezTo>
                  <a:pt x="8674" y="45625"/>
                  <a:pt x="16676" y="30194"/>
                  <a:pt x="32487" y="18097"/>
                </a:cubicBezTo>
                <a:cubicBezTo>
                  <a:pt x="48298" y="6001"/>
                  <a:pt x="70777" y="0"/>
                  <a:pt x="99924" y="0"/>
                </a:cubicBezTo>
                <a:cubicBezTo>
                  <a:pt x="126594" y="0"/>
                  <a:pt x="149454" y="5334"/>
                  <a:pt x="168123" y="15907"/>
                </a:cubicBezTo>
                <a:cubicBezTo>
                  <a:pt x="186792" y="26479"/>
                  <a:pt x="196126" y="43339"/>
                  <a:pt x="196126" y="66675"/>
                </a:cubicBezTo>
                <a:lnTo>
                  <a:pt x="162503" y="66675"/>
                </a:lnTo>
                <a:cubicBezTo>
                  <a:pt x="160788" y="55531"/>
                  <a:pt x="157264" y="46958"/>
                  <a:pt x="151549" y="40862"/>
                </a:cubicBezTo>
                <a:cubicBezTo>
                  <a:pt x="141167" y="30004"/>
                  <a:pt x="123546" y="24479"/>
                  <a:pt x="98781" y="24479"/>
                </a:cubicBezTo>
                <a:cubicBezTo>
                  <a:pt x="78588" y="24479"/>
                  <a:pt x="64205" y="28004"/>
                  <a:pt x="55442" y="35052"/>
                </a:cubicBezTo>
                <a:cubicBezTo>
                  <a:pt x="46679" y="42101"/>
                  <a:pt x="42298" y="50292"/>
                  <a:pt x="42298" y="59627"/>
                </a:cubicBezTo>
                <a:cubicBezTo>
                  <a:pt x="42298" y="69818"/>
                  <a:pt x="47441" y="77343"/>
                  <a:pt x="57823" y="82105"/>
                </a:cubicBezTo>
                <a:cubicBezTo>
                  <a:pt x="64681" y="85344"/>
                  <a:pt x="80112" y="89059"/>
                  <a:pt x="104020" y="93536"/>
                </a:cubicBezTo>
                <a:lnTo>
                  <a:pt x="139643" y="100013"/>
                </a:lnTo>
                <a:cubicBezTo>
                  <a:pt x="156883" y="103442"/>
                  <a:pt x="170123" y="107918"/>
                  <a:pt x="179553" y="113538"/>
                </a:cubicBezTo>
                <a:cubicBezTo>
                  <a:pt x="195745" y="123349"/>
                  <a:pt x="203841" y="137446"/>
                  <a:pt x="203841" y="156020"/>
                </a:cubicBezTo>
                <a:cubicBezTo>
                  <a:pt x="203841" y="179261"/>
                  <a:pt x="193554" y="195834"/>
                  <a:pt x="172981" y="205835"/>
                </a:cubicBezTo>
                <a:cubicBezTo>
                  <a:pt x="152311" y="215741"/>
                  <a:pt x="128404" y="220789"/>
                  <a:pt x="101162" y="220789"/>
                </a:cubicBezTo>
                <a:cubicBezTo>
                  <a:pt x="69444" y="220789"/>
                  <a:pt x="44488" y="214122"/>
                  <a:pt x="26486" y="200787"/>
                </a:cubicBezTo>
                <a:cubicBezTo>
                  <a:pt x="8484" y="187547"/>
                  <a:pt x="-279" y="169640"/>
                  <a:pt x="7" y="146971"/>
                </a:cubicBezTo>
                <a:lnTo>
                  <a:pt x="33725" y="14697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7" name="Forma Livre: Forma 24">
            <a:extLst>
              <a:ext uri="{FF2B5EF4-FFF2-40B4-BE49-F238E27FC236}">
                <a16:creationId xmlns:a16="http://schemas.microsoft.com/office/drawing/2014/main" id="{645FD95E-E5D1-8FA2-19EC-4A7347128AF9}"/>
              </a:ext>
            </a:extLst>
          </xdr:cNvPr>
          <xdr:cNvSpPr/>
        </xdr:nvSpPr>
        <xdr:spPr>
          <a:xfrm>
            <a:off x="12085242" y="11578377"/>
            <a:ext cx="234315" cy="209931"/>
          </a:xfrm>
          <a:custGeom>
            <a:avLst/>
            <a:gdLst>
              <a:gd name="connsiteX0" fmla="*/ 157925 w 234315"/>
              <a:gd name="connsiteY0" fmla="*/ 123635 h 209931"/>
              <a:gd name="connsiteX1" fmla="*/ 117634 w 234315"/>
              <a:gd name="connsiteY1" fmla="*/ 31052 h 209931"/>
              <a:gd name="connsiteX2" fmla="*/ 75629 w 234315"/>
              <a:gd name="connsiteY2" fmla="*/ 123635 h 209931"/>
              <a:gd name="connsiteX3" fmla="*/ 157925 w 234315"/>
              <a:gd name="connsiteY3" fmla="*/ 123635 h 209931"/>
              <a:gd name="connsiteX4" fmla="*/ 99060 w 234315"/>
              <a:gd name="connsiteY4" fmla="*/ 0 h 209931"/>
              <a:gd name="connsiteX5" fmla="*/ 139161 w 234315"/>
              <a:gd name="connsiteY5" fmla="*/ 0 h 209931"/>
              <a:gd name="connsiteX6" fmla="*/ 234315 w 234315"/>
              <a:gd name="connsiteY6" fmla="*/ 209931 h 209931"/>
              <a:gd name="connsiteX7" fmla="*/ 195358 w 234315"/>
              <a:gd name="connsiteY7" fmla="*/ 209931 h 209931"/>
              <a:gd name="connsiteX8" fmla="*/ 167830 w 234315"/>
              <a:gd name="connsiteY8" fmla="*/ 146685 h 209931"/>
              <a:gd name="connsiteX9" fmla="*/ 65151 w 234315"/>
              <a:gd name="connsiteY9" fmla="*/ 146685 h 209931"/>
              <a:gd name="connsiteX10" fmla="*/ 36481 w 234315"/>
              <a:gd name="connsiteY10" fmla="*/ 209931 h 209931"/>
              <a:gd name="connsiteX11" fmla="*/ 0 w 234315"/>
              <a:gd name="connsiteY11" fmla="*/ 209931 h 209931"/>
              <a:gd name="connsiteX12" fmla="*/ 99060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925" y="123635"/>
                </a:moveTo>
                <a:lnTo>
                  <a:pt x="117634" y="31052"/>
                </a:lnTo>
                <a:lnTo>
                  <a:pt x="75629" y="123635"/>
                </a:lnTo>
                <a:lnTo>
                  <a:pt x="157925" y="123635"/>
                </a:lnTo>
                <a:close/>
                <a:moveTo>
                  <a:pt x="99060" y="0"/>
                </a:moveTo>
                <a:lnTo>
                  <a:pt x="139161" y="0"/>
                </a:lnTo>
                <a:lnTo>
                  <a:pt x="234315" y="209931"/>
                </a:lnTo>
                <a:lnTo>
                  <a:pt x="195358" y="209931"/>
                </a:lnTo>
                <a:lnTo>
                  <a:pt x="167830" y="146685"/>
                </a:lnTo>
                <a:lnTo>
                  <a:pt x="65151" y="146685"/>
                </a:lnTo>
                <a:lnTo>
                  <a:pt x="36481" y="209931"/>
                </a:lnTo>
                <a:lnTo>
                  <a:pt x="0" y="209931"/>
                </a:lnTo>
                <a:lnTo>
                  <a:pt x="9906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8" name="Forma Livre: Forma 25">
            <a:extLst>
              <a:ext uri="{FF2B5EF4-FFF2-40B4-BE49-F238E27FC236}">
                <a16:creationId xmlns:a16="http://schemas.microsoft.com/office/drawing/2014/main" id="{2A9BE29F-2BDC-2DE4-C97F-A4664CBD5686}"/>
              </a:ext>
            </a:extLst>
          </xdr:cNvPr>
          <xdr:cNvSpPr/>
        </xdr:nvSpPr>
        <xdr:spPr>
          <a:xfrm>
            <a:off x="12341178" y="11578377"/>
            <a:ext cx="167354" cy="209931"/>
          </a:xfrm>
          <a:custGeom>
            <a:avLst/>
            <a:gdLst>
              <a:gd name="connsiteX0" fmla="*/ 0 w 167354"/>
              <a:gd name="connsiteY0" fmla="*/ 0 h 209931"/>
              <a:gd name="connsiteX1" fmla="*/ 36005 w 167354"/>
              <a:gd name="connsiteY1" fmla="*/ 0 h 209931"/>
              <a:gd name="connsiteX2" fmla="*/ 36005 w 167354"/>
              <a:gd name="connsiteY2" fmla="*/ 184976 h 209931"/>
              <a:gd name="connsiteX3" fmla="*/ 167354 w 167354"/>
              <a:gd name="connsiteY3" fmla="*/ 184976 h 209931"/>
              <a:gd name="connsiteX4" fmla="*/ 167354 w 167354"/>
              <a:gd name="connsiteY4" fmla="*/ 209931 h 209931"/>
              <a:gd name="connsiteX5" fmla="*/ 0 w 167354"/>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354" h="209931">
                <a:moveTo>
                  <a:pt x="0" y="0"/>
                </a:moveTo>
                <a:lnTo>
                  <a:pt x="36005" y="0"/>
                </a:lnTo>
                <a:lnTo>
                  <a:pt x="36005" y="184976"/>
                </a:lnTo>
                <a:lnTo>
                  <a:pt x="167354" y="184976"/>
                </a:lnTo>
                <a:lnTo>
                  <a:pt x="167354"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grpSp>
    <xdr:clientData/>
  </xdr:absoluteAnchor>
</xdr:wsDr>
</file>

<file path=xl/drawings/drawing10.xml><?xml version="1.0" encoding="utf-8"?>
<xdr:wsDr xmlns:xdr="http://schemas.openxmlformats.org/drawingml/2006/spreadsheetDrawing" xmlns:a="http://schemas.openxmlformats.org/drawingml/2006/main">
  <xdr:twoCellAnchor>
    <xdr:from>
      <xdr:col>38</xdr:col>
      <xdr:colOff>762000</xdr:colOff>
      <xdr:row>35</xdr:row>
      <xdr:rowOff>0</xdr:rowOff>
    </xdr:from>
    <xdr:to>
      <xdr:col>42</xdr:col>
      <xdr:colOff>960120</xdr:colOff>
      <xdr:row>51</xdr:row>
      <xdr:rowOff>167640</xdr:rowOff>
    </xdr:to>
    <mc:AlternateContent xmlns:mc="http://schemas.openxmlformats.org/markup-compatibility/2006">
      <mc:Choice xmlns:cx1="http://schemas.microsoft.com/office/drawing/2015/9/8/chartex" Requires="cx1">
        <xdr:graphicFrame macro="">
          <xdr:nvGraphicFramePr>
            <xdr:cNvPr id="2" name="Gráfico 3">
              <a:extLst>
                <a:ext uri="{FF2B5EF4-FFF2-40B4-BE49-F238E27FC236}">
                  <a16:creationId xmlns:a16="http://schemas.microsoft.com/office/drawing/2014/main" id="{56FA67FC-445A-4297-BEA6-7D230BF7085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1650325" y="6667500"/>
              <a:ext cx="4446270" cy="3234690"/>
            </a:xfrm>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527050</xdr:colOff>
      <xdr:row>0</xdr:row>
      <xdr:rowOff>158750</xdr:rowOff>
    </xdr:from>
    <xdr:to>
      <xdr:col>8</xdr:col>
      <xdr:colOff>329905</xdr:colOff>
      <xdr:row>13</xdr:row>
      <xdr:rowOff>101600</xdr:rowOff>
    </xdr:to>
    <xdr:pic>
      <xdr:nvPicPr>
        <xdr:cNvPr id="2" name="Imagem 1">
          <a:extLst>
            <a:ext uri="{FF2B5EF4-FFF2-40B4-BE49-F238E27FC236}">
              <a16:creationId xmlns:a16="http://schemas.microsoft.com/office/drawing/2014/main" id="{3144E03B-DEE4-928C-D078-C0D22B30C964}"/>
            </a:ext>
          </a:extLst>
        </xdr:cNvPr>
        <xdr:cNvPicPr>
          <a:picLocks noChangeAspect="1"/>
        </xdr:cNvPicPr>
      </xdr:nvPicPr>
      <xdr:blipFill>
        <a:blip xmlns:r="http://schemas.openxmlformats.org/officeDocument/2006/relationships" r:embed="rId1"/>
        <a:stretch>
          <a:fillRect/>
        </a:stretch>
      </xdr:blipFill>
      <xdr:spPr>
        <a:xfrm>
          <a:off x="527050" y="158750"/>
          <a:ext cx="4679655" cy="2336800"/>
        </a:xfrm>
        <a:prstGeom prst="rect">
          <a:avLst/>
        </a:prstGeom>
      </xdr:spPr>
    </xdr:pic>
    <xdr:clientData/>
  </xdr:twoCellAnchor>
  <xdr:twoCellAnchor editAs="oneCell">
    <xdr:from>
      <xdr:col>1</xdr:col>
      <xdr:colOff>0</xdr:colOff>
      <xdr:row>18</xdr:row>
      <xdr:rowOff>0</xdr:rowOff>
    </xdr:from>
    <xdr:to>
      <xdr:col>10</xdr:col>
      <xdr:colOff>294552</xdr:colOff>
      <xdr:row>40</xdr:row>
      <xdr:rowOff>151831</xdr:rowOff>
    </xdr:to>
    <xdr:pic>
      <xdr:nvPicPr>
        <xdr:cNvPr id="3" name="Imagem 2">
          <a:extLst>
            <a:ext uri="{FF2B5EF4-FFF2-40B4-BE49-F238E27FC236}">
              <a16:creationId xmlns:a16="http://schemas.microsoft.com/office/drawing/2014/main" id="{E3F6C1A4-201A-7C6C-D5D6-94D66A11A61F}"/>
            </a:ext>
          </a:extLst>
        </xdr:cNvPr>
        <xdr:cNvPicPr>
          <a:picLocks noChangeAspect="1"/>
        </xdr:cNvPicPr>
      </xdr:nvPicPr>
      <xdr:blipFill>
        <a:blip xmlns:r="http://schemas.openxmlformats.org/officeDocument/2006/relationships" r:embed="rId2"/>
        <a:stretch>
          <a:fillRect/>
        </a:stretch>
      </xdr:blipFill>
      <xdr:spPr>
        <a:xfrm>
          <a:off x="609600" y="3314700"/>
          <a:ext cx="5780952" cy="4552381"/>
        </a:xfrm>
        <a:prstGeom prst="rect">
          <a:avLst/>
        </a:prstGeom>
      </xdr:spPr>
    </xdr:pic>
    <xdr:clientData/>
  </xdr:twoCellAnchor>
  <xdr:twoCellAnchor editAs="oneCell">
    <xdr:from>
      <xdr:col>10</xdr:col>
      <xdr:colOff>203200</xdr:colOff>
      <xdr:row>1</xdr:row>
      <xdr:rowOff>82190</xdr:rowOff>
    </xdr:from>
    <xdr:to>
      <xdr:col>18</xdr:col>
      <xdr:colOff>690700</xdr:colOff>
      <xdr:row>16</xdr:row>
      <xdr:rowOff>46976</xdr:rowOff>
    </xdr:to>
    <xdr:pic>
      <xdr:nvPicPr>
        <xdr:cNvPr id="4" name="Imagem 3">
          <a:extLst>
            <a:ext uri="{FF2B5EF4-FFF2-40B4-BE49-F238E27FC236}">
              <a16:creationId xmlns:a16="http://schemas.microsoft.com/office/drawing/2014/main" id="{B55846B8-4FC3-B4F6-43BA-235BB30714DD}"/>
            </a:ext>
          </a:extLst>
        </xdr:cNvPr>
        <xdr:cNvPicPr>
          <a:picLocks noChangeAspect="1"/>
        </xdr:cNvPicPr>
      </xdr:nvPicPr>
      <xdr:blipFill>
        <a:blip xmlns:r="http://schemas.openxmlformats.org/officeDocument/2006/relationships" r:embed="rId3"/>
        <a:stretch>
          <a:fillRect/>
        </a:stretch>
      </xdr:blipFill>
      <xdr:spPr>
        <a:xfrm>
          <a:off x="6299200" y="266340"/>
          <a:ext cx="6094550" cy="2727036"/>
        </a:xfrm>
        <a:prstGeom prst="rect">
          <a:avLst/>
        </a:prstGeom>
      </xdr:spPr>
    </xdr:pic>
    <xdr:clientData/>
  </xdr:twoCellAnchor>
  <xdr:twoCellAnchor editAs="oneCell">
    <xdr:from>
      <xdr:col>1</xdr:col>
      <xdr:colOff>0</xdr:colOff>
      <xdr:row>48</xdr:row>
      <xdr:rowOff>0</xdr:rowOff>
    </xdr:from>
    <xdr:to>
      <xdr:col>8</xdr:col>
      <xdr:colOff>152400</xdr:colOff>
      <xdr:row>65</xdr:row>
      <xdr:rowOff>86849</xdr:rowOff>
    </xdr:to>
    <xdr:pic>
      <xdr:nvPicPr>
        <xdr:cNvPr id="5" name="Picture 4">
          <a:extLst>
            <a:ext uri="{FF2B5EF4-FFF2-40B4-BE49-F238E27FC236}">
              <a16:creationId xmlns:a16="http://schemas.microsoft.com/office/drawing/2014/main" id="{9F4C2334-4179-205D-187A-60912F071B32}"/>
            </a:ext>
          </a:extLst>
        </xdr:cNvPr>
        <xdr:cNvPicPr>
          <a:picLocks noChangeAspect="1"/>
        </xdr:cNvPicPr>
      </xdr:nvPicPr>
      <xdr:blipFill>
        <a:blip xmlns:r="http://schemas.openxmlformats.org/officeDocument/2006/relationships" r:embed="rId4"/>
        <a:stretch>
          <a:fillRect/>
        </a:stretch>
      </xdr:blipFill>
      <xdr:spPr>
        <a:xfrm>
          <a:off x="609600" y="8839200"/>
          <a:ext cx="4419600" cy="3217399"/>
        </a:xfrm>
        <a:prstGeom prst="rect">
          <a:avLst/>
        </a:prstGeom>
      </xdr:spPr>
    </xdr:pic>
    <xdr:clientData/>
  </xdr:twoCellAnchor>
  <xdr:twoCellAnchor editAs="oneCell">
    <xdr:from>
      <xdr:col>9</xdr:col>
      <xdr:colOff>317500</xdr:colOff>
      <xdr:row>48</xdr:row>
      <xdr:rowOff>38100</xdr:rowOff>
    </xdr:from>
    <xdr:to>
      <xdr:col>16</xdr:col>
      <xdr:colOff>332172</xdr:colOff>
      <xdr:row>60</xdr:row>
      <xdr:rowOff>171450</xdr:rowOff>
    </xdr:to>
    <xdr:pic>
      <xdr:nvPicPr>
        <xdr:cNvPr id="6" name="Picture 5">
          <a:extLst>
            <a:ext uri="{FF2B5EF4-FFF2-40B4-BE49-F238E27FC236}">
              <a16:creationId xmlns:a16="http://schemas.microsoft.com/office/drawing/2014/main" id="{0711B355-8E99-D2E6-DB4F-7138EB3E8493}"/>
            </a:ext>
          </a:extLst>
        </xdr:cNvPr>
        <xdr:cNvPicPr>
          <a:picLocks noChangeAspect="1"/>
        </xdr:cNvPicPr>
      </xdr:nvPicPr>
      <xdr:blipFill>
        <a:blip xmlns:r="http://schemas.openxmlformats.org/officeDocument/2006/relationships" r:embed="rId5"/>
        <a:stretch>
          <a:fillRect/>
        </a:stretch>
      </xdr:blipFill>
      <xdr:spPr>
        <a:xfrm>
          <a:off x="5803900" y="8877300"/>
          <a:ext cx="4497772" cy="2343150"/>
        </a:xfrm>
        <a:prstGeom prst="rect">
          <a:avLst/>
        </a:prstGeom>
      </xdr:spPr>
    </xdr:pic>
    <xdr:clientData/>
  </xdr:twoCellAnchor>
  <xdr:twoCellAnchor editAs="oneCell">
    <xdr:from>
      <xdr:col>17</xdr:col>
      <xdr:colOff>323850</xdr:colOff>
      <xdr:row>48</xdr:row>
      <xdr:rowOff>63500</xdr:rowOff>
    </xdr:from>
    <xdr:to>
      <xdr:col>20</xdr:col>
      <xdr:colOff>298450</xdr:colOff>
      <xdr:row>64</xdr:row>
      <xdr:rowOff>156634</xdr:rowOff>
    </xdr:to>
    <xdr:pic>
      <xdr:nvPicPr>
        <xdr:cNvPr id="7" name="Picture 6">
          <a:extLst>
            <a:ext uri="{FF2B5EF4-FFF2-40B4-BE49-F238E27FC236}">
              <a16:creationId xmlns:a16="http://schemas.microsoft.com/office/drawing/2014/main" id="{1B1C424F-062A-1003-436B-39517A26A609}"/>
            </a:ext>
          </a:extLst>
        </xdr:cNvPr>
        <xdr:cNvPicPr>
          <a:picLocks noChangeAspect="1"/>
        </xdr:cNvPicPr>
      </xdr:nvPicPr>
      <xdr:blipFill>
        <a:blip xmlns:r="http://schemas.openxmlformats.org/officeDocument/2006/relationships" r:embed="rId6"/>
        <a:stretch>
          <a:fillRect/>
        </a:stretch>
      </xdr:blipFill>
      <xdr:spPr>
        <a:xfrm>
          <a:off x="10687050" y="8902700"/>
          <a:ext cx="2279650" cy="303953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absoluteAnchor>
    <xdr:pos x="800100" y="114300"/>
    <xdr:ext cx="1516540" cy="129540"/>
    <xdr:grpSp>
      <xdr:nvGrpSpPr>
        <xdr:cNvPr id="2" name="Agrupar 11">
          <a:extLst>
            <a:ext uri="{FF2B5EF4-FFF2-40B4-BE49-F238E27FC236}">
              <a16:creationId xmlns:a16="http://schemas.microsoft.com/office/drawing/2014/main" id="{FD3E4038-2109-432D-AF8B-B7A981D996C7}"/>
            </a:ext>
          </a:extLst>
        </xdr:cNvPr>
        <xdr:cNvGrpSpPr/>
      </xdr:nvGrpSpPr>
      <xdr:grpSpPr>
        <a:xfrm>
          <a:off x="800100" y="114300"/>
          <a:ext cx="1516540" cy="129540"/>
          <a:chOff x="8887890" y="11505511"/>
          <a:chExt cx="3620642" cy="289559"/>
        </a:xfrm>
        <a:solidFill>
          <a:schemeClr val="bg1"/>
        </a:solidFill>
      </xdr:grpSpPr>
      <xdr:sp macro="" textlink="">
        <xdr:nvSpPr>
          <xdr:cNvPr id="3" name="Forma Livre: Forma 12">
            <a:extLst>
              <a:ext uri="{FF2B5EF4-FFF2-40B4-BE49-F238E27FC236}">
                <a16:creationId xmlns:a16="http://schemas.microsoft.com/office/drawing/2014/main" id="{FCC9C791-F838-28EE-2400-6B2C7FD94DED}"/>
              </a:ext>
            </a:extLst>
          </xdr:cNvPr>
          <xdr:cNvSpPr/>
        </xdr:nvSpPr>
        <xdr:spPr>
          <a:xfrm>
            <a:off x="8887890" y="11505511"/>
            <a:ext cx="316801" cy="282797"/>
          </a:xfrm>
          <a:custGeom>
            <a:avLst/>
            <a:gdLst>
              <a:gd name="connsiteX0" fmla="*/ 213932 w 316801"/>
              <a:gd name="connsiteY0" fmla="*/ 166688 h 282797"/>
              <a:gd name="connsiteX1" fmla="*/ 159639 w 316801"/>
              <a:gd name="connsiteY1" fmla="*/ 41815 h 282797"/>
              <a:gd name="connsiteX2" fmla="*/ 103061 w 316801"/>
              <a:gd name="connsiteY2" fmla="*/ 166688 h 282797"/>
              <a:gd name="connsiteX3" fmla="*/ 213932 w 316801"/>
              <a:gd name="connsiteY3" fmla="*/ 166688 h 282797"/>
              <a:gd name="connsiteX4" fmla="*/ 133445 w 316801"/>
              <a:gd name="connsiteY4" fmla="*/ 0 h 282797"/>
              <a:gd name="connsiteX5" fmla="*/ 188786 w 316801"/>
              <a:gd name="connsiteY5" fmla="*/ 0 h 282797"/>
              <a:gd name="connsiteX6" fmla="*/ 316802 w 316801"/>
              <a:gd name="connsiteY6" fmla="*/ 282797 h 282797"/>
              <a:gd name="connsiteX7" fmla="*/ 264414 w 316801"/>
              <a:gd name="connsiteY7" fmla="*/ 282797 h 282797"/>
              <a:gd name="connsiteX8" fmla="*/ 227266 w 316801"/>
              <a:gd name="connsiteY8" fmla="*/ 197453 h 282797"/>
              <a:gd name="connsiteX9" fmla="*/ 89154 w 316801"/>
              <a:gd name="connsiteY9" fmla="*/ 197453 h 282797"/>
              <a:gd name="connsiteX10" fmla="*/ 50482 w 316801"/>
              <a:gd name="connsiteY10" fmla="*/ 282797 h 282797"/>
              <a:gd name="connsiteX11" fmla="*/ 0 w 316801"/>
              <a:gd name="connsiteY11" fmla="*/ 282797 h 282797"/>
              <a:gd name="connsiteX12" fmla="*/ 133445 w 316801"/>
              <a:gd name="connsiteY12"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16801" h="282797">
                <a:moveTo>
                  <a:pt x="213932" y="166688"/>
                </a:moveTo>
                <a:lnTo>
                  <a:pt x="159639" y="41815"/>
                </a:lnTo>
                <a:lnTo>
                  <a:pt x="103061" y="166688"/>
                </a:lnTo>
                <a:lnTo>
                  <a:pt x="213932" y="166688"/>
                </a:lnTo>
                <a:close/>
                <a:moveTo>
                  <a:pt x="133445" y="0"/>
                </a:moveTo>
                <a:lnTo>
                  <a:pt x="188786" y="0"/>
                </a:lnTo>
                <a:lnTo>
                  <a:pt x="316802" y="282797"/>
                </a:lnTo>
                <a:lnTo>
                  <a:pt x="264414" y="282797"/>
                </a:lnTo>
                <a:lnTo>
                  <a:pt x="227266" y="197453"/>
                </a:lnTo>
                <a:lnTo>
                  <a:pt x="89154" y="197453"/>
                </a:lnTo>
                <a:lnTo>
                  <a:pt x="50482" y="282797"/>
                </a:lnTo>
                <a:lnTo>
                  <a:pt x="0" y="282797"/>
                </a:lnTo>
                <a:lnTo>
                  <a:pt x="13344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4" name="Forma Livre: Forma 13">
            <a:extLst>
              <a:ext uri="{FF2B5EF4-FFF2-40B4-BE49-F238E27FC236}">
                <a16:creationId xmlns:a16="http://schemas.microsoft.com/office/drawing/2014/main" id="{A6D6638A-14AF-A419-A8D3-DADCB255BBEA}"/>
              </a:ext>
            </a:extLst>
          </xdr:cNvPr>
          <xdr:cNvSpPr/>
        </xdr:nvSpPr>
        <xdr:spPr>
          <a:xfrm>
            <a:off x="9234505" y="11578377"/>
            <a:ext cx="167258" cy="209931"/>
          </a:xfrm>
          <a:custGeom>
            <a:avLst/>
            <a:gdLst>
              <a:gd name="connsiteX0" fmla="*/ 0 w 167258"/>
              <a:gd name="connsiteY0" fmla="*/ 0 h 209931"/>
              <a:gd name="connsiteX1" fmla="*/ 35909 w 167258"/>
              <a:gd name="connsiteY1" fmla="*/ 0 h 209931"/>
              <a:gd name="connsiteX2" fmla="*/ 35909 w 167258"/>
              <a:gd name="connsiteY2" fmla="*/ 184976 h 209931"/>
              <a:gd name="connsiteX3" fmla="*/ 167259 w 167258"/>
              <a:gd name="connsiteY3" fmla="*/ 184976 h 209931"/>
              <a:gd name="connsiteX4" fmla="*/ 167259 w 167258"/>
              <a:gd name="connsiteY4" fmla="*/ 209931 h 209931"/>
              <a:gd name="connsiteX5" fmla="*/ 0 w 167258"/>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258" h="209931">
                <a:moveTo>
                  <a:pt x="0" y="0"/>
                </a:moveTo>
                <a:lnTo>
                  <a:pt x="35909" y="0"/>
                </a:lnTo>
                <a:lnTo>
                  <a:pt x="35909" y="184976"/>
                </a:lnTo>
                <a:lnTo>
                  <a:pt x="167259" y="184976"/>
                </a:lnTo>
                <a:lnTo>
                  <a:pt x="167259"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5" name="Forma Livre: Forma 14">
            <a:extLst>
              <a:ext uri="{FF2B5EF4-FFF2-40B4-BE49-F238E27FC236}">
                <a16:creationId xmlns:a16="http://schemas.microsoft.com/office/drawing/2014/main" id="{DF929387-3373-9ECD-7006-60A6BB325D78}"/>
              </a:ext>
            </a:extLst>
          </xdr:cNvPr>
          <xdr:cNvSpPr/>
        </xdr:nvSpPr>
        <xdr:spPr>
          <a:xfrm>
            <a:off x="9366140" y="11578377"/>
            <a:ext cx="229171" cy="209931"/>
          </a:xfrm>
          <a:custGeom>
            <a:avLst/>
            <a:gdLst>
              <a:gd name="connsiteX0" fmla="*/ 39338 w 229171"/>
              <a:gd name="connsiteY0" fmla="*/ 0 h 209931"/>
              <a:gd name="connsiteX1" fmla="*/ 114585 w 229171"/>
              <a:gd name="connsiteY1" fmla="*/ 178689 h 209931"/>
              <a:gd name="connsiteX2" fmla="*/ 189357 w 229171"/>
              <a:gd name="connsiteY2" fmla="*/ 0 h 209931"/>
              <a:gd name="connsiteX3" fmla="*/ 229171 w 229171"/>
              <a:gd name="connsiteY3" fmla="*/ 0 h 209931"/>
              <a:gd name="connsiteX4" fmla="*/ 133159 w 229171"/>
              <a:gd name="connsiteY4" fmla="*/ 209931 h 209931"/>
              <a:gd name="connsiteX5" fmla="*/ 95440 w 229171"/>
              <a:gd name="connsiteY5" fmla="*/ 209931 h 209931"/>
              <a:gd name="connsiteX6" fmla="*/ 0 w 229171"/>
              <a:gd name="connsiteY6"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9171" h="209931">
                <a:moveTo>
                  <a:pt x="39338" y="0"/>
                </a:moveTo>
                <a:lnTo>
                  <a:pt x="114585" y="178689"/>
                </a:lnTo>
                <a:lnTo>
                  <a:pt x="189357" y="0"/>
                </a:lnTo>
                <a:lnTo>
                  <a:pt x="229171" y="0"/>
                </a:lnTo>
                <a:lnTo>
                  <a:pt x="133159" y="209931"/>
                </a:lnTo>
                <a:lnTo>
                  <a:pt x="95440" y="209931"/>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6" name="Forma Livre: Forma 15">
            <a:extLst>
              <a:ext uri="{FF2B5EF4-FFF2-40B4-BE49-F238E27FC236}">
                <a16:creationId xmlns:a16="http://schemas.microsoft.com/office/drawing/2014/main" id="{41362C34-794B-6E7F-CFA8-8A3D3996EB08}"/>
              </a:ext>
            </a:extLst>
          </xdr:cNvPr>
          <xdr:cNvSpPr/>
        </xdr:nvSpPr>
        <xdr:spPr>
          <a:xfrm>
            <a:off x="9549115" y="11578377"/>
            <a:ext cx="234315" cy="209931"/>
          </a:xfrm>
          <a:custGeom>
            <a:avLst/>
            <a:gdLst>
              <a:gd name="connsiteX0" fmla="*/ 157639 w 234315"/>
              <a:gd name="connsiteY0" fmla="*/ 123635 h 209931"/>
              <a:gd name="connsiteX1" fmla="*/ 117348 w 234315"/>
              <a:gd name="connsiteY1" fmla="*/ 31052 h 209931"/>
              <a:gd name="connsiteX2" fmla="*/ 75438 w 234315"/>
              <a:gd name="connsiteY2" fmla="*/ 123635 h 209931"/>
              <a:gd name="connsiteX3" fmla="*/ 157639 w 234315"/>
              <a:gd name="connsiteY3" fmla="*/ 123635 h 209931"/>
              <a:gd name="connsiteX4" fmla="*/ 98965 w 234315"/>
              <a:gd name="connsiteY4" fmla="*/ 0 h 209931"/>
              <a:gd name="connsiteX5" fmla="*/ 139065 w 234315"/>
              <a:gd name="connsiteY5" fmla="*/ 0 h 209931"/>
              <a:gd name="connsiteX6" fmla="*/ 234315 w 234315"/>
              <a:gd name="connsiteY6" fmla="*/ 209931 h 209931"/>
              <a:gd name="connsiteX7" fmla="*/ 195358 w 234315"/>
              <a:gd name="connsiteY7" fmla="*/ 209931 h 209931"/>
              <a:gd name="connsiteX8" fmla="*/ 167736 w 234315"/>
              <a:gd name="connsiteY8" fmla="*/ 146685 h 209931"/>
              <a:gd name="connsiteX9" fmla="*/ 65056 w 234315"/>
              <a:gd name="connsiteY9" fmla="*/ 146685 h 209931"/>
              <a:gd name="connsiteX10" fmla="*/ 36481 w 234315"/>
              <a:gd name="connsiteY10" fmla="*/ 209931 h 209931"/>
              <a:gd name="connsiteX11" fmla="*/ 0 w 234315"/>
              <a:gd name="connsiteY11" fmla="*/ 209931 h 209931"/>
              <a:gd name="connsiteX12" fmla="*/ 98965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639" y="123635"/>
                </a:moveTo>
                <a:lnTo>
                  <a:pt x="117348" y="31052"/>
                </a:lnTo>
                <a:lnTo>
                  <a:pt x="75438" y="123635"/>
                </a:lnTo>
                <a:lnTo>
                  <a:pt x="157639" y="123635"/>
                </a:lnTo>
                <a:close/>
                <a:moveTo>
                  <a:pt x="98965" y="0"/>
                </a:moveTo>
                <a:lnTo>
                  <a:pt x="139065" y="0"/>
                </a:lnTo>
                <a:lnTo>
                  <a:pt x="234315" y="209931"/>
                </a:lnTo>
                <a:lnTo>
                  <a:pt x="195358" y="209931"/>
                </a:lnTo>
                <a:lnTo>
                  <a:pt x="167736"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7" name="Forma Livre: Forma 16">
            <a:extLst>
              <a:ext uri="{FF2B5EF4-FFF2-40B4-BE49-F238E27FC236}">
                <a16:creationId xmlns:a16="http://schemas.microsoft.com/office/drawing/2014/main" id="{5D890DF1-C16F-3F1D-B1D4-F2A92C3898FD}"/>
              </a:ext>
            </a:extLst>
          </xdr:cNvPr>
          <xdr:cNvSpPr/>
        </xdr:nvSpPr>
        <xdr:spPr>
          <a:xfrm>
            <a:off x="9811815" y="11578377"/>
            <a:ext cx="213836" cy="209835"/>
          </a:xfrm>
          <a:custGeom>
            <a:avLst/>
            <a:gdLst>
              <a:gd name="connsiteX0" fmla="*/ 115158 w 213836"/>
              <a:gd name="connsiteY0" fmla="*/ 96298 h 209835"/>
              <a:gd name="connsiteX1" fmla="*/ 153258 w 213836"/>
              <a:gd name="connsiteY1" fmla="*/ 88297 h 209835"/>
              <a:gd name="connsiteX2" fmla="*/ 167259 w 213836"/>
              <a:gd name="connsiteY2" fmla="*/ 59627 h 209835"/>
              <a:gd name="connsiteX3" fmla="*/ 147638 w 213836"/>
              <a:gd name="connsiteY3" fmla="*/ 29146 h 209835"/>
              <a:gd name="connsiteX4" fmla="*/ 119634 w 213836"/>
              <a:gd name="connsiteY4" fmla="*/ 24860 h 209835"/>
              <a:gd name="connsiteX5" fmla="*/ 35909 w 213836"/>
              <a:gd name="connsiteY5" fmla="*/ 24860 h 209835"/>
              <a:gd name="connsiteX6" fmla="*/ 35909 w 213836"/>
              <a:gd name="connsiteY6" fmla="*/ 96298 h 209835"/>
              <a:gd name="connsiteX7" fmla="*/ 115158 w 213836"/>
              <a:gd name="connsiteY7" fmla="*/ 96298 h 209835"/>
              <a:gd name="connsiteX8" fmla="*/ 0 w 213836"/>
              <a:gd name="connsiteY8" fmla="*/ 0 h 209835"/>
              <a:gd name="connsiteX9" fmla="*/ 119063 w 213836"/>
              <a:gd name="connsiteY9" fmla="*/ 0 h 209835"/>
              <a:gd name="connsiteX10" fmla="*/ 167450 w 213836"/>
              <a:gd name="connsiteY10" fmla="*/ 6953 h 209835"/>
              <a:gd name="connsiteX11" fmla="*/ 203740 w 213836"/>
              <a:gd name="connsiteY11" fmla="*/ 56674 h 209835"/>
              <a:gd name="connsiteX12" fmla="*/ 193929 w 213836"/>
              <a:gd name="connsiteY12" fmla="*/ 87439 h 209835"/>
              <a:gd name="connsiteX13" fmla="*/ 166497 w 213836"/>
              <a:gd name="connsiteY13" fmla="*/ 106775 h 209835"/>
              <a:gd name="connsiteX14" fmla="*/ 189738 w 213836"/>
              <a:gd name="connsiteY14" fmla="*/ 119920 h 209835"/>
              <a:gd name="connsiteX15" fmla="*/ 198406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49 w 213836"/>
              <a:gd name="connsiteY22" fmla="*/ 186404 h 209835"/>
              <a:gd name="connsiteX23" fmla="*/ 163544 w 213836"/>
              <a:gd name="connsiteY23" fmla="*/ 151257 h 209835"/>
              <a:gd name="connsiteX24" fmla="*/ 145066 w 213836"/>
              <a:gd name="connsiteY24" fmla="*/ 123635 h 209835"/>
              <a:gd name="connsiteX25" fmla="*/ 114205 w 213836"/>
              <a:gd name="connsiteY25" fmla="*/ 119729 h 209835"/>
              <a:gd name="connsiteX26" fmla="*/ 36005 w 213836"/>
              <a:gd name="connsiteY26" fmla="*/ 119729 h 209835"/>
              <a:gd name="connsiteX27" fmla="*/ 36005 w 213836"/>
              <a:gd name="connsiteY27" fmla="*/ 209836 h 209835"/>
              <a:gd name="connsiteX28" fmla="*/ 95 w 213836"/>
              <a:gd name="connsiteY28" fmla="*/ 209836 h 209835"/>
              <a:gd name="connsiteX29" fmla="*/ 95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158" y="96298"/>
                </a:moveTo>
                <a:cubicBezTo>
                  <a:pt x="131255" y="96298"/>
                  <a:pt x="143923" y="93631"/>
                  <a:pt x="153258" y="88297"/>
                </a:cubicBezTo>
                <a:cubicBezTo>
                  <a:pt x="162687" y="82963"/>
                  <a:pt x="167259" y="73343"/>
                  <a:pt x="167259" y="59627"/>
                </a:cubicBezTo>
                <a:cubicBezTo>
                  <a:pt x="167259" y="44672"/>
                  <a:pt x="160782" y="34480"/>
                  <a:pt x="147638" y="29146"/>
                </a:cubicBezTo>
                <a:cubicBezTo>
                  <a:pt x="140684" y="26289"/>
                  <a:pt x="131255" y="24860"/>
                  <a:pt x="119634" y="24860"/>
                </a:cubicBezTo>
                <a:lnTo>
                  <a:pt x="35909" y="24860"/>
                </a:lnTo>
                <a:lnTo>
                  <a:pt x="35909" y="96298"/>
                </a:lnTo>
                <a:lnTo>
                  <a:pt x="115158" y="96298"/>
                </a:lnTo>
                <a:close/>
                <a:moveTo>
                  <a:pt x="0" y="0"/>
                </a:moveTo>
                <a:lnTo>
                  <a:pt x="119063" y="0"/>
                </a:lnTo>
                <a:cubicBezTo>
                  <a:pt x="138684" y="0"/>
                  <a:pt x="154781" y="2286"/>
                  <a:pt x="167450" y="6953"/>
                </a:cubicBezTo>
                <a:cubicBezTo>
                  <a:pt x="191643" y="16002"/>
                  <a:pt x="203740" y="32576"/>
                  <a:pt x="203740" y="56674"/>
                </a:cubicBezTo>
                <a:cubicBezTo>
                  <a:pt x="203740" y="69247"/>
                  <a:pt x="200501" y="79438"/>
                  <a:pt x="193929" y="87439"/>
                </a:cubicBezTo>
                <a:cubicBezTo>
                  <a:pt x="187357" y="95440"/>
                  <a:pt x="178213" y="101918"/>
                  <a:pt x="166497" y="106775"/>
                </a:cubicBezTo>
                <a:cubicBezTo>
                  <a:pt x="176879" y="110109"/>
                  <a:pt x="184595" y="114395"/>
                  <a:pt x="189738" y="119920"/>
                </a:cubicBezTo>
                <a:cubicBezTo>
                  <a:pt x="194977" y="125349"/>
                  <a:pt x="197834" y="134112"/>
                  <a:pt x="198406" y="146304"/>
                </a:cubicBezTo>
                <a:lnTo>
                  <a:pt x="199930" y="174403"/>
                </a:lnTo>
                <a:cubicBezTo>
                  <a:pt x="200311" y="182404"/>
                  <a:pt x="201073" y="188404"/>
                  <a:pt x="202406" y="192214"/>
                </a:cubicBezTo>
                <a:cubicBezTo>
                  <a:pt x="204597" y="198882"/>
                  <a:pt x="208312" y="203168"/>
                  <a:pt x="213836" y="204978"/>
                </a:cubicBezTo>
                <a:lnTo>
                  <a:pt x="213836" y="209836"/>
                </a:lnTo>
                <a:lnTo>
                  <a:pt x="169831" y="209836"/>
                </a:lnTo>
                <a:cubicBezTo>
                  <a:pt x="168688" y="208026"/>
                  <a:pt x="167735" y="205740"/>
                  <a:pt x="167069" y="202787"/>
                </a:cubicBezTo>
                <a:cubicBezTo>
                  <a:pt x="166402" y="199930"/>
                  <a:pt x="165831" y="194405"/>
                  <a:pt x="165449" y="186404"/>
                </a:cubicBezTo>
                <a:lnTo>
                  <a:pt x="163544" y="151257"/>
                </a:lnTo>
                <a:cubicBezTo>
                  <a:pt x="162783" y="137446"/>
                  <a:pt x="156591" y="128302"/>
                  <a:pt x="145066" y="123635"/>
                </a:cubicBezTo>
                <a:cubicBezTo>
                  <a:pt x="138494" y="120968"/>
                  <a:pt x="128207" y="119729"/>
                  <a:pt x="114205" y="119729"/>
                </a:cubicBezTo>
                <a:lnTo>
                  <a:pt x="36005" y="119729"/>
                </a:lnTo>
                <a:lnTo>
                  <a:pt x="36005" y="209836"/>
                </a:lnTo>
                <a:lnTo>
                  <a:pt x="95" y="209836"/>
                </a:lnTo>
                <a:lnTo>
                  <a:pt x="9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8" name="Forma Livre: Forma 17">
            <a:extLst>
              <a:ext uri="{FF2B5EF4-FFF2-40B4-BE49-F238E27FC236}">
                <a16:creationId xmlns:a16="http://schemas.microsoft.com/office/drawing/2014/main" id="{B5A2ABA2-977E-07E2-BFAD-18C5490D110E}"/>
              </a:ext>
            </a:extLst>
          </xdr:cNvPr>
          <xdr:cNvSpPr/>
        </xdr:nvSpPr>
        <xdr:spPr>
          <a:xfrm>
            <a:off x="10052797" y="11578377"/>
            <a:ext cx="168497" cy="209931"/>
          </a:xfrm>
          <a:custGeom>
            <a:avLst/>
            <a:gdLst>
              <a:gd name="connsiteX0" fmla="*/ 0 w 168497"/>
              <a:gd name="connsiteY0" fmla="*/ 0 h 209931"/>
              <a:gd name="connsiteX1" fmla="*/ 166878 w 168497"/>
              <a:gd name="connsiteY1" fmla="*/ 0 h 209931"/>
              <a:gd name="connsiteX2" fmla="*/ 166878 w 168497"/>
              <a:gd name="connsiteY2" fmla="*/ 25337 h 209931"/>
              <a:gd name="connsiteX3" fmla="*/ 30004 w 168497"/>
              <a:gd name="connsiteY3" fmla="*/ 25337 h 209931"/>
              <a:gd name="connsiteX4" fmla="*/ 30004 w 168497"/>
              <a:gd name="connsiteY4" fmla="*/ 89059 h 209931"/>
              <a:gd name="connsiteX5" fmla="*/ 156496 w 168497"/>
              <a:gd name="connsiteY5" fmla="*/ 89059 h 209931"/>
              <a:gd name="connsiteX6" fmla="*/ 156496 w 168497"/>
              <a:gd name="connsiteY6" fmla="*/ 113919 h 209931"/>
              <a:gd name="connsiteX7" fmla="*/ 30004 w 168497"/>
              <a:gd name="connsiteY7" fmla="*/ 113919 h 209931"/>
              <a:gd name="connsiteX8" fmla="*/ 30004 w 168497"/>
              <a:gd name="connsiteY8" fmla="*/ 184976 h 209931"/>
              <a:gd name="connsiteX9" fmla="*/ 168497 w 168497"/>
              <a:gd name="connsiteY9" fmla="*/ 184976 h 209931"/>
              <a:gd name="connsiteX10" fmla="*/ 168497 w 168497"/>
              <a:gd name="connsiteY10" fmla="*/ 209931 h 209931"/>
              <a:gd name="connsiteX11" fmla="*/ 0 w 168497"/>
              <a:gd name="connsiteY11"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8497" h="209931">
                <a:moveTo>
                  <a:pt x="0" y="0"/>
                </a:moveTo>
                <a:lnTo>
                  <a:pt x="166878" y="0"/>
                </a:lnTo>
                <a:lnTo>
                  <a:pt x="166878" y="25337"/>
                </a:lnTo>
                <a:lnTo>
                  <a:pt x="30004" y="25337"/>
                </a:lnTo>
                <a:lnTo>
                  <a:pt x="30004" y="89059"/>
                </a:lnTo>
                <a:lnTo>
                  <a:pt x="156496" y="89059"/>
                </a:lnTo>
                <a:lnTo>
                  <a:pt x="156496" y="113919"/>
                </a:lnTo>
                <a:lnTo>
                  <a:pt x="30004" y="113919"/>
                </a:lnTo>
                <a:lnTo>
                  <a:pt x="30004" y="184976"/>
                </a:lnTo>
                <a:lnTo>
                  <a:pt x="168497" y="184976"/>
                </a:lnTo>
                <a:lnTo>
                  <a:pt x="168497"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9" name="Forma Livre: Forma 18">
            <a:extLst>
              <a:ext uri="{FF2B5EF4-FFF2-40B4-BE49-F238E27FC236}">
                <a16:creationId xmlns:a16="http://schemas.microsoft.com/office/drawing/2014/main" id="{FDFF5EFB-D3BB-C165-947B-FEC8F288C1EA}"/>
              </a:ext>
            </a:extLst>
          </xdr:cNvPr>
          <xdr:cNvSpPr/>
        </xdr:nvSpPr>
        <xdr:spPr>
          <a:xfrm>
            <a:off x="10254442" y="11578377"/>
            <a:ext cx="206120" cy="209931"/>
          </a:xfrm>
          <a:custGeom>
            <a:avLst/>
            <a:gdLst>
              <a:gd name="connsiteX0" fmla="*/ 0 w 206120"/>
              <a:gd name="connsiteY0" fmla="*/ 186404 h 209931"/>
              <a:gd name="connsiteX1" fmla="*/ 160972 w 206120"/>
              <a:gd name="connsiteY1" fmla="*/ 24860 h 209931"/>
              <a:gd name="connsiteX2" fmla="*/ 12001 w 206120"/>
              <a:gd name="connsiteY2" fmla="*/ 24860 h 209931"/>
              <a:gd name="connsiteX3" fmla="*/ 12001 w 206120"/>
              <a:gd name="connsiteY3" fmla="*/ 0 h 209931"/>
              <a:gd name="connsiteX4" fmla="*/ 206121 w 206120"/>
              <a:gd name="connsiteY4" fmla="*/ 0 h 209931"/>
              <a:gd name="connsiteX5" fmla="*/ 206121 w 206120"/>
              <a:gd name="connsiteY5" fmla="*/ 24289 h 209931"/>
              <a:gd name="connsiteX6" fmla="*/ 44672 w 206120"/>
              <a:gd name="connsiteY6" fmla="*/ 184976 h 209931"/>
              <a:gd name="connsiteX7" fmla="*/ 206121 w 206120"/>
              <a:gd name="connsiteY7" fmla="*/ 184976 h 209931"/>
              <a:gd name="connsiteX8" fmla="*/ 206121 w 206120"/>
              <a:gd name="connsiteY8" fmla="*/ 209931 h 209931"/>
              <a:gd name="connsiteX9" fmla="*/ 0 w 206120"/>
              <a:gd name="connsiteY9"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06120" h="209931">
                <a:moveTo>
                  <a:pt x="0" y="186404"/>
                </a:moveTo>
                <a:lnTo>
                  <a:pt x="160972" y="24860"/>
                </a:lnTo>
                <a:lnTo>
                  <a:pt x="12001" y="24860"/>
                </a:lnTo>
                <a:lnTo>
                  <a:pt x="12001" y="0"/>
                </a:lnTo>
                <a:lnTo>
                  <a:pt x="206121" y="0"/>
                </a:lnTo>
                <a:lnTo>
                  <a:pt x="206121" y="24289"/>
                </a:lnTo>
                <a:lnTo>
                  <a:pt x="44672" y="184976"/>
                </a:lnTo>
                <a:lnTo>
                  <a:pt x="206121" y="184976"/>
                </a:lnTo>
                <a:lnTo>
                  <a:pt x="206121"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0" name="Forma Livre: Forma 19">
            <a:extLst>
              <a:ext uri="{FF2B5EF4-FFF2-40B4-BE49-F238E27FC236}">
                <a16:creationId xmlns:a16="http://schemas.microsoft.com/office/drawing/2014/main" id="{2C22FF37-C6F8-5877-5C88-9DEA5C7C7A20}"/>
              </a:ext>
            </a:extLst>
          </xdr:cNvPr>
          <xdr:cNvSpPr/>
        </xdr:nvSpPr>
        <xdr:spPr>
          <a:xfrm>
            <a:off x="10590198" y="11506463"/>
            <a:ext cx="294893" cy="288607"/>
          </a:xfrm>
          <a:custGeom>
            <a:avLst/>
            <a:gdLst>
              <a:gd name="connsiteX0" fmla="*/ 150686 w 294893"/>
              <a:gd name="connsiteY0" fmla="*/ 89344 h 288607"/>
              <a:gd name="connsiteX1" fmla="*/ 164878 w 294893"/>
              <a:gd name="connsiteY1" fmla="*/ 60293 h 288607"/>
              <a:gd name="connsiteX2" fmla="*/ 154591 w 294893"/>
              <a:gd name="connsiteY2" fmla="*/ 38767 h 288607"/>
              <a:gd name="connsiteX3" fmla="*/ 126682 w 294893"/>
              <a:gd name="connsiteY3" fmla="*/ 29623 h 288607"/>
              <a:gd name="connsiteX4" fmla="*/ 89630 w 294893"/>
              <a:gd name="connsiteY4" fmla="*/ 43910 h 288607"/>
              <a:gd name="connsiteX5" fmla="*/ 84296 w 294893"/>
              <a:gd name="connsiteY5" fmla="*/ 59817 h 288607"/>
              <a:gd name="connsiteX6" fmla="*/ 92392 w 294893"/>
              <a:gd name="connsiteY6" fmla="*/ 82296 h 288607"/>
              <a:gd name="connsiteX7" fmla="*/ 119348 w 294893"/>
              <a:gd name="connsiteY7" fmla="*/ 110395 h 288607"/>
              <a:gd name="connsiteX8" fmla="*/ 150686 w 294893"/>
              <a:gd name="connsiteY8" fmla="*/ 89344 h 288607"/>
              <a:gd name="connsiteX9" fmla="*/ 154114 w 294893"/>
              <a:gd name="connsiteY9" fmla="*/ 248983 h 288607"/>
              <a:gd name="connsiteX10" fmla="*/ 183546 w 294893"/>
              <a:gd name="connsiteY10" fmla="*/ 227076 h 288607"/>
              <a:gd name="connsiteX11" fmla="*/ 103727 w 294893"/>
              <a:gd name="connsiteY11" fmla="*/ 149257 h 288607"/>
              <a:gd name="connsiteX12" fmla="*/ 59817 w 294893"/>
              <a:gd name="connsiteY12" fmla="*/ 176879 h 288607"/>
              <a:gd name="connsiteX13" fmla="*/ 44101 w 294893"/>
              <a:gd name="connsiteY13" fmla="*/ 212026 h 288607"/>
              <a:gd name="connsiteX14" fmla="*/ 64579 w 294893"/>
              <a:gd name="connsiteY14" fmla="*/ 246697 h 288607"/>
              <a:gd name="connsiteX15" fmla="*/ 108395 w 294893"/>
              <a:gd name="connsiteY15" fmla="*/ 258699 h 288607"/>
              <a:gd name="connsiteX16" fmla="*/ 154114 w 294893"/>
              <a:gd name="connsiteY16" fmla="*/ 248983 h 288607"/>
              <a:gd name="connsiteX17" fmla="*/ 49816 w 294893"/>
              <a:gd name="connsiteY17" fmla="*/ 90964 h 288607"/>
              <a:gd name="connsiteX18" fmla="*/ 42196 w 294893"/>
              <a:gd name="connsiteY18" fmla="*/ 63722 h 288607"/>
              <a:gd name="connsiteX19" fmla="*/ 65246 w 294893"/>
              <a:gd name="connsiteY19" fmla="*/ 18193 h 288607"/>
              <a:gd name="connsiteX20" fmla="*/ 127063 w 294893"/>
              <a:gd name="connsiteY20" fmla="*/ 0 h 288607"/>
              <a:gd name="connsiteX21" fmla="*/ 184499 w 294893"/>
              <a:gd name="connsiteY21" fmla="*/ 16859 h 288607"/>
              <a:gd name="connsiteX22" fmla="*/ 205264 w 294893"/>
              <a:gd name="connsiteY22" fmla="*/ 57150 h 288607"/>
              <a:gd name="connsiteX23" fmla="*/ 183832 w 294893"/>
              <a:gd name="connsiteY23" fmla="*/ 104965 h 288607"/>
              <a:gd name="connsiteX24" fmla="*/ 142018 w 294893"/>
              <a:gd name="connsiteY24" fmla="*/ 132588 h 288607"/>
              <a:gd name="connsiteX25" fmla="*/ 206407 w 294893"/>
              <a:gd name="connsiteY25" fmla="*/ 194024 h 288607"/>
              <a:gd name="connsiteX26" fmla="*/ 214693 w 294893"/>
              <a:gd name="connsiteY26" fmla="*/ 170974 h 288607"/>
              <a:gd name="connsiteX27" fmla="*/ 219456 w 294893"/>
              <a:gd name="connsiteY27" fmla="*/ 149542 h 288607"/>
              <a:gd name="connsiteX28" fmla="*/ 261651 w 294893"/>
              <a:gd name="connsiteY28" fmla="*/ 149542 h 288607"/>
              <a:gd name="connsiteX29" fmla="*/ 245269 w 294893"/>
              <a:gd name="connsiteY29" fmla="*/ 201739 h 288607"/>
              <a:gd name="connsiteX30" fmla="*/ 233076 w 294893"/>
              <a:gd name="connsiteY30" fmla="*/ 221837 h 288607"/>
              <a:gd name="connsiteX31" fmla="*/ 294894 w 294893"/>
              <a:gd name="connsiteY31" fmla="*/ 281940 h 288607"/>
              <a:gd name="connsiteX32" fmla="*/ 240030 w 294893"/>
              <a:gd name="connsiteY32" fmla="*/ 281940 h 288607"/>
              <a:gd name="connsiteX33" fmla="*/ 206883 w 294893"/>
              <a:gd name="connsiteY33" fmla="*/ 250412 h 288607"/>
              <a:gd name="connsiteX34" fmla="*/ 170783 w 294893"/>
              <a:gd name="connsiteY34" fmla="*/ 274987 h 288607"/>
              <a:gd name="connsiteX35" fmla="*/ 104965 w 294893"/>
              <a:gd name="connsiteY35" fmla="*/ 288607 h 288607"/>
              <a:gd name="connsiteX36" fmla="*/ 24860 w 294893"/>
              <a:gd name="connsiteY36" fmla="*/ 264890 h 288607"/>
              <a:gd name="connsiteX37" fmla="*/ 0 w 294893"/>
              <a:gd name="connsiteY37" fmla="*/ 211741 h 288607"/>
              <a:gd name="connsiteX38" fmla="*/ 24289 w 294893"/>
              <a:gd name="connsiteY38" fmla="*/ 158401 h 288607"/>
              <a:gd name="connsiteX39" fmla="*/ 79724 w 294893"/>
              <a:gd name="connsiteY39" fmla="*/ 125825 h 288607"/>
              <a:gd name="connsiteX40" fmla="*/ 49816 w 294893"/>
              <a:gd name="connsiteY40" fmla="*/ 90964 h 2886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294893" h="288607">
                <a:moveTo>
                  <a:pt x="150686" y="89344"/>
                </a:moveTo>
                <a:cubicBezTo>
                  <a:pt x="160115" y="80486"/>
                  <a:pt x="164878" y="70866"/>
                  <a:pt x="164878" y="60293"/>
                </a:cubicBezTo>
                <a:cubicBezTo>
                  <a:pt x="164878" y="51911"/>
                  <a:pt x="161544" y="44767"/>
                  <a:pt x="154591" y="38767"/>
                </a:cubicBezTo>
                <a:cubicBezTo>
                  <a:pt x="147732" y="32671"/>
                  <a:pt x="138398" y="29623"/>
                  <a:pt x="126682" y="29623"/>
                </a:cubicBezTo>
                <a:cubicBezTo>
                  <a:pt x="108871" y="29623"/>
                  <a:pt x="96583" y="34385"/>
                  <a:pt x="89630" y="43910"/>
                </a:cubicBezTo>
                <a:cubicBezTo>
                  <a:pt x="86106" y="48673"/>
                  <a:pt x="84296" y="54007"/>
                  <a:pt x="84296" y="59817"/>
                </a:cubicBezTo>
                <a:cubicBezTo>
                  <a:pt x="84296" y="67627"/>
                  <a:pt x="86963" y="75247"/>
                  <a:pt x="92392" y="82296"/>
                </a:cubicBezTo>
                <a:cubicBezTo>
                  <a:pt x="97821" y="89440"/>
                  <a:pt x="106775" y="98774"/>
                  <a:pt x="119348" y="110395"/>
                </a:cubicBezTo>
                <a:cubicBezTo>
                  <a:pt x="134588" y="101632"/>
                  <a:pt x="144970" y="94679"/>
                  <a:pt x="150686" y="89344"/>
                </a:cubicBezTo>
                <a:moveTo>
                  <a:pt x="154114" y="248983"/>
                </a:moveTo>
                <a:cubicBezTo>
                  <a:pt x="166878" y="242506"/>
                  <a:pt x="176689" y="235172"/>
                  <a:pt x="183546" y="227076"/>
                </a:cubicBezTo>
                <a:lnTo>
                  <a:pt x="103727" y="149257"/>
                </a:lnTo>
                <a:cubicBezTo>
                  <a:pt x="81343" y="161258"/>
                  <a:pt x="66675" y="170497"/>
                  <a:pt x="59817" y="176879"/>
                </a:cubicBezTo>
                <a:cubicBezTo>
                  <a:pt x="49244" y="186499"/>
                  <a:pt x="44101" y="198215"/>
                  <a:pt x="44101" y="212026"/>
                </a:cubicBezTo>
                <a:cubicBezTo>
                  <a:pt x="44101" y="226981"/>
                  <a:pt x="50863" y="238601"/>
                  <a:pt x="64579" y="246697"/>
                </a:cubicBezTo>
                <a:cubicBezTo>
                  <a:pt x="78200" y="254698"/>
                  <a:pt x="92869" y="258699"/>
                  <a:pt x="108395" y="258699"/>
                </a:cubicBezTo>
                <a:cubicBezTo>
                  <a:pt x="126111" y="258699"/>
                  <a:pt x="141351" y="255556"/>
                  <a:pt x="154114" y="248983"/>
                </a:cubicBezTo>
                <a:moveTo>
                  <a:pt x="49816" y="90964"/>
                </a:moveTo>
                <a:cubicBezTo>
                  <a:pt x="44767" y="81534"/>
                  <a:pt x="42196" y="72390"/>
                  <a:pt x="42196" y="63722"/>
                </a:cubicBezTo>
                <a:cubicBezTo>
                  <a:pt x="42196" y="45529"/>
                  <a:pt x="49911" y="30289"/>
                  <a:pt x="65246" y="18193"/>
                </a:cubicBezTo>
                <a:cubicBezTo>
                  <a:pt x="80581" y="6001"/>
                  <a:pt x="101251" y="0"/>
                  <a:pt x="127063" y="0"/>
                </a:cubicBezTo>
                <a:cubicBezTo>
                  <a:pt x="151543" y="0"/>
                  <a:pt x="170688" y="5620"/>
                  <a:pt x="184499" y="16859"/>
                </a:cubicBezTo>
                <a:cubicBezTo>
                  <a:pt x="198311" y="28099"/>
                  <a:pt x="205264" y="41624"/>
                  <a:pt x="205264" y="57150"/>
                </a:cubicBezTo>
                <a:cubicBezTo>
                  <a:pt x="205264" y="75343"/>
                  <a:pt x="198120" y="91154"/>
                  <a:pt x="183832" y="104965"/>
                </a:cubicBezTo>
                <a:cubicBezTo>
                  <a:pt x="175450" y="112871"/>
                  <a:pt x="161639" y="122015"/>
                  <a:pt x="142018" y="132588"/>
                </a:cubicBezTo>
                <a:lnTo>
                  <a:pt x="206407" y="194024"/>
                </a:lnTo>
                <a:cubicBezTo>
                  <a:pt x="210407" y="183737"/>
                  <a:pt x="213074" y="176022"/>
                  <a:pt x="214693" y="170974"/>
                </a:cubicBezTo>
                <a:cubicBezTo>
                  <a:pt x="216312" y="165830"/>
                  <a:pt x="217837" y="158782"/>
                  <a:pt x="219456" y="149542"/>
                </a:cubicBezTo>
                <a:lnTo>
                  <a:pt x="261651" y="149542"/>
                </a:lnTo>
                <a:cubicBezTo>
                  <a:pt x="258985" y="167735"/>
                  <a:pt x="253555" y="185071"/>
                  <a:pt x="245269" y="201739"/>
                </a:cubicBezTo>
                <a:cubicBezTo>
                  <a:pt x="237077" y="218313"/>
                  <a:pt x="233076" y="224980"/>
                  <a:pt x="233076" y="221837"/>
                </a:cubicBezTo>
                <a:lnTo>
                  <a:pt x="294894" y="281940"/>
                </a:lnTo>
                <a:lnTo>
                  <a:pt x="240030" y="281940"/>
                </a:lnTo>
                <a:lnTo>
                  <a:pt x="206883" y="250412"/>
                </a:lnTo>
                <a:cubicBezTo>
                  <a:pt x="193738" y="261652"/>
                  <a:pt x="181737" y="269843"/>
                  <a:pt x="170783" y="274987"/>
                </a:cubicBezTo>
                <a:cubicBezTo>
                  <a:pt x="151733" y="284131"/>
                  <a:pt x="129826" y="288607"/>
                  <a:pt x="104965" y="288607"/>
                </a:cubicBezTo>
                <a:cubicBezTo>
                  <a:pt x="68199" y="288607"/>
                  <a:pt x="41624" y="280702"/>
                  <a:pt x="24860" y="264890"/>
                </a:cubicBezTo>
                <a:cubicBezTo>
                  <a:pt x="8287" y="249079"/>
                  <a:pt x="0" y="231362"/>
                  <a:pt x="0" y="211741"/>
                </a:cubicBezTo>
                <a:cubicBezTo>
                  <a:pt x="0" y="190309"/>
                  <a:pt x="8001" y="172593"/>
                  <a:pt x="24289" y="158401"/>
                </a:cubicBezTo>
                <a:cubicBezTo>
                  <a:pt x="34194" y="149828"/>
                  <a:pt x="52673" y="138874"/>
                  <a:pt x="79724" y="125825"/>
                </a:cubicBezTo>
                <a:cubicBezTo>
                  <a:pt x="64865" y="112014"/>
                  <a:pt x="54864" y="100393"/>
                  <a:pt x="49816" y="90964"/>
                </a:cubicBezTo>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1" name="Forma Livre: Forma 20">
            <a:extLst>
              <a:ext uri="{FF2B5EF4-FFF2-40B4-BE49-F238E27FC236}">
                <a16:creationId xmlns:a16="http://schemas.microsoft.com/office/drawing/2014/main" id="{38248A65-A72E-DE79-0029-BF3D4481CF25}"/>
              </a:ext>
            </a:extLst>
          </xdr:cNvPr>
          <xdr:cNvSpPr/>
        </xdr:nvSpPr>
        <xdr:spPr>
          <a:xfrm>
            <a:off x="11003964" y="11505511"/>
            <a:ext cx="338422" cy="282797"/>
          </a:xfrm>
          <a:custGeom>
            <a:avLst/>
            <a:gdLst>
              <a:gd name="connsiteX0" fmla="*/ 95 w 338422"/>
              <a:gd name="connsiteY0" fmla="*/ 0 h 282797"/>
              <a:gd name="connsiteX1" fmla="*/ 68008 w 338422"/>
              <a:gd name="connsiteY1" fmla="*/ 0 h 282797"/>
              <a:gd name="connsiteX2" fmla="*/ 169354 w 338422"/>
              <a:gd name="connsiteY2" fmla="*/ 239078 h 282797"/>
              <a:gd name="connsiteX3" fmla="*/ 270891 w 338422"/>
              <a:gd name="connsiteY3" fmla="*/ 0 h 282797"/>
              <a:gd name="connsiteX4" fmla="*/ 338423 w 338422"/>
              <a:gd name="connsiteY4" fmla="*/ 0 h 282797"/>
              <a:gd name="connsiteX5" fmla="*/ 338423 w 338422"/>
              <a:gd name="connsiteY5" fmla="*/ 282797 h 282797"/>
              <a:gd name="connsiteX6" fmla="*/ 293370 w 338422"/>
              <a:gd name="connsiteY6" fmla="*/ 282797 h 282797"/>
              <a:gd name="connsiteX7" fmla="*/ 293370 w 338422"/>
              <a:gd name="connsiteY7" fmla="*/ 115729 h 282797"/>
              <a:gd name="connsiteX8" fmla="*/ 294418 w 338422"/>
              <a:gd name="connsiteY8" fmla="*/ 87058 h 282797"/>
              <a:gd name="connsiteX9" fmla="*/ 295275 w 338422"/>
              <a:gd name="connsiteY9" fmla="*/ 44101 h 282797"/>
              <a:gd name="connsiteX10" fmla="*/ 192786 w 338422"/>
              <a:gd name="connsiteY10" fmla="*/ 282797 h 282797"/>
              <a:gd name="connsiteX11" fmla="*/ 145256 w 338422"/>
              <a:gd name="connsiteY11" fmla="*/ 282797 h 282797"/>
              <a:gd name="connsiteX12" fmla="*/ 43148 w 338422"/>
              <a:gd name="connsiteY12" fmla="*/ 44101 h 282797"/>
              <a:gd name="connsiteX13" fmla="*/ 43148 w 338422"/>
              <a:gd name="connsiteY13" fmla="*/ 52864 h 282797"/>
              <a:gd name="connsiteX14" fmla="*/ 44101 w 338422"/>
              <a:gd name="connsiteY14" fmla="*/ 84582 h 282797"/>
              <a:gd name="connsiteX15" fmla="*/ 45053 w 338422"/>
              <a:gd name="connsiteY15" fmla="*/ 115729 h 282797"/>
              <a:gd name="connsiteX16" fmla="*/ 45053 w 338422"/>
              <a:gd name="connsiteY16" fmla="*/ 282797 h 282797"/>
              <a:gd name="connsiteX17" fmla="*/ 0 w 338422"/>
              <a:gd name="connsiteY17" fmla="*/ 282797 h 282797"/>
              <a:gd name="connsiteX18" fmla="*/ 0 w 338422"/>
              <a:gd name="connsiteY18"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338422" h="282797">
                <a:moveTo>
                  <a:pt x="95" y="0"/>
                </a:moveTo>
                <a:lnTo>
                  <a:pt x="68008" y="0"/>
                </a:lnTo>
                <a:lnTo>
                  <a:pt x="169354" y="239078"/>
                </a:lnTo>
                <a:lnTo>
                  <a:pt x="270891" y="0"/>
                </a:lnTo>
                <a:lnTo>
                  <a:pt x="338423" y="0"/>
                </a:lnTo>
                <a:lnTo>
                  <a:pt x="338423" y="282797"/>
                </a:lnTo>
                <a:lnTo>
                  <a:pt x="293370" y="282797"/>
                </a:lnTo>
                <a:lnTo>
                  <a:pt x="293370" y="115729"/>
                </a:lnTo>
                <a:cubicBezTo>
                  <a:pt x="293370" y="110014"/>
                  <a:pt x="293751" y="100394"/>
                  <a:pt x="294418" y="87058"/>
                </a:cubicBezTo>
                <a:cubicBezTo>
                  <a:pt x="294989" y="73723"/>
                  <a:pt x="295275" y="59341"/>
                  <a:pt x="295275" y="44101"/>
                </a:cubicBezTo>
                <a:lnTo>
                  <a:pt x="192786" y="282797"/>
                </a:lnTo>
                <a:lnTo>
                  <a:pt x="145256" y="282797"/>
                </a:lnTo>
                <a:lnTo>
                  <a:pt x="43148" y="44101"/>
                </a:lnTo>
                <a:lnTo>
                  <a:pt x="43148" y="52864"/>
                </a:lnTo>
                <a:cubicBezTo>
                  <a:pt x="43148" y="59722"/>
                  <a:pt x="43529" y="70295"/>
                  <a:pt x="44101" y="84582"/>
                </a:cubicBezTo>
                <a:cubicBezTo>
                  <a:pt x="44767" y="98774"/>
                  <a:pt x="45053" y="109156"/>
                  <a:pt x="45053" y="115729"/>
                </a:cubicBezTo>
                <a:lnTo>
                  <a:pt x="45053" y="282797"/>
                </a:lnTo>
                <a:lnTo>
                  <a:pt x="0" y="282797"/>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2" name="Forma Livre: Forma 21">
            <a:extLst>
              <a:ext uri="{FF2B5EF4-FFF2-40B4-BE49-F238E27FC236}">
                <a16:creationId xmlns:a16="http://schemas.microsoft.com/office/drawing/2014/main" id="{F17D71E4-7911-F59F-434A-EDBAE02577AF}"/>
              </a:ext>
            </a:extLst>
          </xdr:cNvPr>
          <xdr:cNvSpPr/>
        </xdr:nvSpPr>
        <xdr:spPr>
          <a:xfrm>
            <a:off x="11369914" y="11578377"/>
            <a:ext cx="234314" cy="209931"/>
          </a:xfrm>
          <a:custGeom>
            <a:avLst/>
            <a:gdLst>
              <a:gd name="connsiteX0" fmla="*/ 157829 w 234314"/>
              <a:gd name="connsiteY0" fmla="*/ 123635 h 209931"/>
              <a:gd name="connsiteX1" fmla="*/ 117443 w 234314"/>
              <a:gd name="connsiteY1" fmla="*/ 31052 h 209931"/>
              <a:gd name="connsiteX2" fmla="*/ 75533 w 234314"/>
              <a:gd name="connsiteY2" fmla="*/ 123635 h 209931"/>
              <a:gd name="connsiteX3" fmla="*/ 157829 w 234314"/>
              <a:gd name="connsiteY3" fmla="*/ 123635 h 209931"/>
              <a:gd name="connsiteX4" fmla="*/ 98965 w 234314"/>
              <a:gd name="connsiteY4" fmla="*/ 0 h 209931"/>
              <a:gd name="connsiteX5" fmla="*/ 139065 w 234314"/>
              <a:gd name="connsiteY5" fmla="*/ 0 h 209931"/>
              <a:gd name="connsiteX6" fmla="*/ 234315 w 234314"/>
              <a:gd name="connsiteY6" fmla="*/ 209931 h 209931"/>
              <a:gd name="connsiteX7" fmla="*/ 195358 w 234314"/>
              <a:gd name="connsiteY7" fmla="*/ 209931 h 209931"/>
              <a:gd name="connsiteX8" fmla="*/ 167830 w 234314"/>
              <a:gd name="connsiteY8" fmla="*/ 146685 h 209931"/>
              <a:gd name="connsiteX9" fmla="*/ 65056 w 234314"/>
              <a:gd name="connsiteY9" fmla="*/ 146685 h 209931"/>
              <a:gd name="connsiteX10" fmla="*/ 36481 w 234314"/>
              <a:gd name="connsiteY10" fmla="*/ 209931 h 209931"/>
              <a:gd name="connsiteX11" fmla="*/ 0 w 234314"/>
              <a:gd name="connsiteY11" fmla="*/ 209931 h 209931"/>
              <a:gd name="connsiteX12" fmla="*/ 98965 w 234314"/>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4" h="209931">
                <a:moveTo>
                  <a:pt x="157829" y="123635"/>
                </a:moveTo>
                <a:lnTo>
                  <a:pt x="117443" y="31052"/>
                </a:lnTo>
                <a:lnTo>
                  <a:pt x="75533" y="123635"/>
                </a:lnTo>
                <a:lnTo>
                  <a:pt x="157829" y="123635"/>
                </a:lnTo>
                <a:close/>
                <a:moveTo>
                  <a:pt x="98965" y="0"/>
                </a:moveTo>
                <a:lnTo>
                  <a:pt x="139065" y="0"/>
                </a:lnTo>
                <a:lnTo>
                  <a:pt x="234315" y="209931"/>
                </a:lnTo>
                <a:lnTo>
                  <a:pt x="195358" y="209931"/>
                </a:lnTo>
                <a:lnTo>
                  <a:pt x="167830"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3" name="Forma Livre: Forma 22">
            <a:extLst>
              <a:ext uri="{FF2B5EF4-FFF2-40B4-BE49-F238E27FC236}">
                <a16:creationId xmlns:a16="http://schemas.microsoft.com/office/drawing/2014/main" id="{5F52ECE6-DBA3-A113-1D5D-C9051520D8D9}"/>
              </a:ext>
            </a:extLst>
          </xdr:cNvPr>
          <xdr:cNvSpPr/>
        </xdr:nvSpPr>
        <xdr:spPr>
          <a:xfrm>
            <a:off x="11635090" y="11578377"/>
            <a:ext cx="213836" cy="209835"/>
          </a:xfrm>
          <a:custGeom>
            <a:avLst/>
            <a:gdLst>
              <a:gd name="connsiteX0" fmla="*/ 115253 w 213836"/>
              <a:gd name="connsiteY0" fmla="*/ 96298 h 209835"/>
              <a:gd name="connsiteX1" fmla="*/ 153448 w 213836"/>
              <a:gd name="connsiteY1" fmla="*/ 88297 h 209835"/>
              <a:gd name="connsiteX2" fmla="*/ 167450 w 213836"/>
              <a:gd name="connsiteY2" fmla="*/ 59627 h 209835"/>
              <a:gd name="connsiteX3" fmla="*/ 147828 w 213836"/>
              <a:gd name="connsiteY3" fmla="*/ 29146 h 209835"/>
              <a:gd name="connsiteX4" fmla="*/ 119825 w 213836"/>
              <a:gd name="connsiteY4" fmla="*/ 24860 h 209835"/>
              <a:gd name="connsiteX5" fmla="*/ 36005 w 213836"/>
              <a:gd name="connsiteY5" fmla="*/ 24860 h 209835"/>
              <a:gd name="connsiteX6" fmla="*/ 36005 w 213836"/>
              <a:gd name="connsiteY6" fmla="*/ 96298 h 209835"/>
              <a:gd name="connsiteX7" fmla="*/ 115253 w 213836"/>
              <a:gd name="connsiteY7" fmla="*/ 96298 h 209835"/>
              <a:gd name="connsiteX8" fmla="*/ 95 w 213836"/>
              <a:gd name="connsiteY8" fmla="*/ 0 h 209835"/>
              <a:gd name="connsiteX9" fmla="*/ 119158 w 213836"/>
              <a:gd name="connsiteY9" fmla="*/ 0 h 209835"/>
              <a:gd name="connsiteX10" fmla="*/ 167640 w 213836"/>
              <a:gd name="connsiteY10" fmla="*/ 6953 h 209835"/>
              <a:gd name="connsiteX11" fmla="*/ 203835 w 213836"/>
              <a:gd name="connsiteY11" fmla="*/ 56674 h 209835"/>
              <a:gd name="connsiteX12" fmla="*/ 194025 w 213836"/>
              <a:gd name="connsiteY12" fmla="*/ 87439 h 209835"/>
              <a:gd name="connsiteX13" fmla="*/ 166593 w 213836"/>
              <a:gd name="connsiteY13" fmla="*/ 106775 h 209835"/>
              <a:gd name="connsiteX14" fmla="*/ 189738 w 213836"/>
              <a:gd name="connsiteY14" fmla="*/ 119920 h 209835"/>
              <a:gd name="connsiteX15" fmla="*/ 198501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50 w 213836"/>
              <a:gd name="connsiteY22" fmla="*/ 186404 h 209835"/>
              <a:gd name="connsiteX23" fmla="*/ 163545 w 213836"/>
              <a:gd name="connsiteY23" fmla="*/ 151257 h 209835"/>
              <a:gd name="connsiteX24" fmla="*/ 145066 w 213836"/>
              <a:gd name="connsiteY24" fmla="*/ 123635 h 209835"/>
              <a:gd name="connsiteX25" fmla="*/ 114110 w 213836"/>
              <a:gd name="connsiteY25" fmla="*/ 119729 h 209835"/>
              <a:gd name="connsiteX26" fmla="*/ 35909 w 213836"/>
              <a:gd name="connsiteY26" fmla="*/ 119729 h 209835"/>
              <a:gd name="connsiteX27" fmla="*/ 35909 w 213836"/>
              <a:gd name="connsiteY27" fmla="*/ 209836 h 209835"/>
              <a:gd name="connsiteX28" fmla="*/ 0 w 213836"/>
              <a:gd name="connsiteY28" fmla="*/ 209836 h 209835"/>
              <a:gd name="connsiteX29" fmla="*/ 0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253" y="96298"/>
                </a:moveTo>
                <a:cubicBezTo>
                  <a:pt x="131350" y="96298"/>
                  <a:pt x="144019" y="93631"/>
                  <a:pt x="153448" y="88297"/>
                </a:cubicBezTo>
                <a:cubicBezTo>
                  <a:pt x="162783" y="82963"/>
                  <a:pt x="167450" y="73343"/>
                  <a:pt x="167450" y="59627"/>
                </a:cubicBezTo>
                <a:cubicBezTo>
                  <a:pt x="167450" y="44672"/>
                  <a:pt x="160877" y="34480"/>
                  <a:pt x="147828" y="29146"/>
                </a:cubicBezTo>
                <a:cubicBezTo>
                  <a:pt x="140875" y="26289"/>
                  <a:pt x="131445" y="24860"/>
                  <a:pt x="119825" y="24860"/>
                </a:cubicBezTo>
                <a:lnTo>
                  <a:pt x="36005" y="24860"/>
                </a:lnTo>
                <a:lnTo>
                  <a:pt x="36005" y="96298"/>
                </a:lnTo>
                <a:lnTo>
                  <a:pt x="115253" y="96298"/>
                </a:lnTo>
                <a:close/>
                <a:moveTo>
                  <a:pt x="95" y="0"/>
                </a:moveTo>
                <a:lnTo>
                  <a:pt x="119158" y="0"/>
                </a:lnTo>
                <a:cubicBezTo>
                  <a:pt x="138779" y="0"/>
                  <a:pt x="154972" y="2286"/>
                  <a:pt x="167640" y="6953"/>
                </a:cubicBezTo>
                <a:cubicBezTo>
                  <a:pt x="191834" y="16002"/>
                  <a:pt x="203835" y="32576"/>
                  <a:pt x="203835" y="56674"/>
                </a:cubicBezTo>
                <a:cubicBezTo>
                  <a:pt x="203835" y="69247"/>
                  <a:pt x="200596" y="79438"/>
                  <a:pt x="194025" y="87439"/>
                </a:cubicBezTo>
                <a:cubicBezTo>
                  <a:pt x="187453" y="95440"/>
                  <a:pt x="178308" y="101918"/>
                  <a:pt x="166593" y="106775"/>
                </a:cubicBezTo>
                <a:cubicBezTo>
                  <a:pt x="176879" y="110109"/>
                  <a:pt x="184595" y="114395"/>
                  <a:pt x="189738" y="119920"/>
                </a:cubicBezTo>
                <a:cubicBezTo>
                  <a:pt x="194977" y="125349"/>
                  <a:pt x="197834" y="134112"/>
                  <a:pt x="198501" y="146304"/>
                </a:cubicBezTo>
                <a:lnTo>
                  <a:pt x="199930" y="174403"/>
                </a:lnTo>
                <a:cubicBezTo>
                  <a:pt x="200311" y="182404"/>
                  <a:pt x="201073" y="188404"/>
                  <a:pt x="202406" y="192214"/>
                </a:cubicBezTo>
                <a:cubicBezTo>
                  <a:pt x="204597" y="198882"/>
                  <a:pt x="208407" y="203168"/>
                  <a:pt x="213836" y="204978"/>
                </a:cubicBezTo>
                <a:lnTo>
                  <a:pt x="213836" y="209836"/>
                </a:lnTo>
                <a:lnTo>
                  <a:pt x="169831" y="209836"/>
                </a:lnTo>
                <a:cubicBezTo>
                  <a:pt x="168688" y="208026"/>
                  <a:pt x="167736" y="205740"/>
                  <a:pt x="167069" y="202787"/>
                </a:cubicBezTo>
                <a:cubicBezTo>
                  <a:pt x="166497" y="199930"/>
                  <a:pt x="165831" y="194405"/>
                  <a:pt x="165450" y="186404"/>
                </a:cubicBezTo>
                <a:lnTo>
                  <a:pt x="163545" y="151257"/>
                </a:lnTo>
                <a:cubicBezTo>
                  <a:pt x="162687" y="137446"/>
                  <a:pt x="156591" y="128302"/>
                  <a:pt x="145066" y="123635"/>
                </a:cubicBezTo>
                <a:cubicBezTo>
                  <a:pt x="138494" y="120968"/>
                  <a:pt x="128207" y="119729"/>
                  <a:pt x="114110" y="119729"/>
                </a:cubicBezTo>
                <a:lnTo>
                  <a:pt x="35909" y="119729"/>
                </a:lnTo>
                <a:lnTo>
                  <a:pt x="35909" y="209836"/>
                </a:lnTo>
                <a:lnTo>
                  <a:pt x="0" y="209836"/>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4" name="Forma Livre: Forma 23">
            <a:extLst>
              <a:ext uri="{FF2B5EF4-FFF2-40B4-BE49-F238E27FC236}">
                <a16:creationId xmlns:a16="http://schemas.microsoft.com/office/drawing/2014/main" id="{E235FB58-B089-6BC7-EE3A-1ECB5DA71098}"/>
              </a:ext>
            </a:extLst>
          </xdr:cNvPr>
          <xdr:cNvSpPr/>
        </xdr:nvSpPr>
        <xdr:spPr>
          <a:xfrm>
            <a:off x="11870161" y="11573614"/>
            <a:ext cx="203841" cy="220789"/>
          </a:xfrm>
          <a:custGeom>
            <a:avLst/>
            <a:gdLst>
              <a:gd name="connsiteX0" fmla="*/ 33725 w 203841"/>
              <a:gd name="connsiteY0" fmla="*/ 146971 h 220789"/>
              <a:gd name="connsiteX1" fmla="*/ 43822 w 203841"/>
              <a:gd name="connsiteY1" fmla="*/ 176022 h 220789"/>
              <a:gd name="connsiteX2" fmla="*/ 103638 w 203841"/>
              <a:gd name="connsiteY2" fmla="*/ 196977 h 220789"/>
              <a:gd name="connsiteX3" fmla="*/ 138691 w 203841"/>
              <a:gd name="connsiteY3" fmla="*/ 192310 h 220789"/>
              <a:gd name="connsiteX4" fmla="*/ 169266 w 203841"/>
              <a:gd name="connsiteY4" fmla="*/ 160782 h 220789"/>
              <a:gd name="connsiteX5" fmla="*/ 156216 w 203841"/>
              <a:gd name="connsiteY5" fmla="*/ 136303 h 220789"/>
              <a:gd name="connsiteX6" fmla="*/ 115068 w 203841"/>
              <a:gd name="connsiteY6" fmla="*/ 123920 h 220789"/>
              <a:gd name="connsiteX7" fmla="*/ 80493 w 203841"/>
              <a:gd name="connsiteY7" fmla="*/ 117538 h 220789"/>
              <a:gd name="connsiteX8" fmla="*/ 32868 w 203841"/>
              <a:gd name="connsiteY8" fmla="*/ 103727 h 220789"/>
              <a:gd name="connsiteX9" fmla="*/ 8674 w 203841"/>
              <a:gd name="connsiteY9" fmla="*/ 64484 h 220789"/>
              <a:gd name="connsiteX10" fmla="*/ 32487 w 203841"/>
              <a:gd name="connsiteY10" fmla="*/ 18097 h 220789"/>
              <a:gd name="connsiteX11" fmla="*/ 99924 w 203841"/>
              <a:gd name="connsiteY11" fmla="*/ 0 h 220789"/>
              <a:gd name="connsiteX12" fmla="*/ 168123 w 203841"/>
              <a:gd name="connsiteY12" fmla="*/ 15907 h 220789"/>
              <a:gd name="connsiteX13" fmla="*/ 196126 w 203841"/>
              <a:gd name="connsiteY13" fmla="*/ 66675 h 220789"/>
              <a:gd name="connsiteX14" fmla="*/ 162503 w 203841"/>
              <a:gd name="connsiteY14" fmla="*/ 66675 h 220789"/>
              <a:gd name="connsiteX15" fmla="*/ 151549 w 203841"/>
              <a:gd name="connsiteY15" fmla="*/ 40862 h 220789"/>
              <a:gd name="connsiteX16" fmla="*/ 98781 w 203841"/>
              <a:gd name="connsiteY16" fmla="*/ 24479 h 220789"/>
              <a:gd name="connsiteX17" fmla="*/ 55442 w 203841"/>
              <a:gd name="connsiteY17" fmla="*/ 35052 h 220789"/>
              <a:gd name="connsiteX18" fmla="*/ 42298 w 203841"/>
              <a:gd name="connsiteY18" fmla="*/ 59627 h 220789"/>
              <a:gd name="connsiteX19" fmla="*/ 57823 w 203841"/>
              <a:gd name="connsiteY19" fmla="*/ 82105 h 220789"/>
              <a:gd name="connsiteX20" fmla="*/ 104020 w 203841"/>
              <a:gd name="connsiteY20" fmla="*/ 93536 h 220789"/>
              <a:gd name="connsiteX21" fmla="*/ 139643 w 203841"/>
              <a:gd name="connsiteY21" fmla="*/ 100013 h 220789"/>
              <a:gd name="connsiteX22" fmla="*/ 179553 w 203841"/>
              <a:gd name="connsiteY22" fmla="*/ 113538 h 220789"/>
              <a:gd name="connsiteX23" fmla="*/ 203841 w 203841"/>
              <a:gd name="connsiteY23" fmla="*/ 156020 h 220789"/>
              <a:gd name="connsiteX24" fmla="*/ 172981 w 203841"/>
              <a:gd name="connsiteY24" fmla="*/ 205835 h 220789"/>
              <a:gd name="connsiteX25" fmla="*/ 101162 w 203841"/>
              <a:gd name="connsiteY25" fmla="*/ 220789 h 220789"/>
              <a:gd name="connsiteX26" fmla="*/ 26486 w 203841"/>
              <a:gd name="connsiteY26" fmla="*/ 200787 h 220789"/>
              <a:gd name="connsiteX27" fmla="*/ 7 w 203841"/>
              <a:gd name="connsiteY27" fmla="*/ 146971 h 220789"/>
              <a:gd name="connsiteX28" fmla="*/ 33725 w 203841"/>
              <a:gd name="connsiteY28" fmla="*/ 146971 h 2207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203841" h="220789">
                <a:moveTo>
                  <a:pt x="33725" y="146971"/>
                </a:moveTo>
                <a:cubicBezTo>
                  <a:pt x="34392" y="158972"/>
                  <a:pt x="37916" y="168593"/>
                  <a:pt x="43822" y="176022"/>
                </a:cubicBezTo>
                <a:cubicBezTo>
                  <a:pt x="55156" y="189929"/>
                  <a:pt x="75159" y="196977"/>
                  <a:pt x="103638" y="196977"/>
                </a:cubicBezTo>
                <a:cubicBezTo>
                  <a:pt x="116497" y="196977"/>
                  <a:pt x="128118" y="195453"/>
                  <a:pt x="138691" y="192310"/>
                </a:cubicBezTo>
                <a:cubicBezTo>
                  <a:pt x="159074" y="186595"/>
                  <a:pt x="169266" y="176022"/>
                  <a:pt x="169266" y="160782"/>
                </a:cubicBezTo>
                <a:cubicBezTo>
                  <a:pt x="169266" y="149352"/>
                  <a:pt x="164885" y="141161"/>
                  <a:pt x="156216" y="136303"/>
                </a:cubicBezTo>
                <a:cubicBezTo>
                  <a:pt x="147454" y="131540"/>
                  <a:pt x="133833" y="127445"/>
                  <a:pt x="115068" y="123920"/>
                </a:cubicBezTo>
                <a:lnTo>
                  <a:pt x="80493" y="117538"/>
                </a:lnTo>
                <a:cubicBezTo>
                  <a:pt x="58014" y="113347"/>
                  <a:pt x="42107" y="108776"/>
                  <a:pt x="32868" y="103727"/>
                </a:cubicBezTo>
                <a:cubicBezTo>
                  <a:pt x="16676" y="94964"/>
                  <a:pt x="8674" y="81820"/>
                  <a:pt x="8674" y="64484"/>
                </a:cubicBezTo>
                <a:cubicBezTo>
                  <a:pt x="8674" y="45625"/>
                  <a:pt x="16676" y="30194"/>
                  <a:pt x="32487" y="18097"/>
                </a:cubicBezTo>
                <a:cubicBezTo>
                  <a:pt x="48298" y="6001"/>
                  <a:pt x="70777" y="0"/>
                  <a:pt x="99924" y="0"/>
                </a:cubicBezTo>
                <a:cubicBezTo>
                  <a:pt x="126594" y="0"/>
                  <a:pt x="149454" y="5334"/>
                  <a:pt x="168123" y="15907"/>
                </a:cubicBezTo>
                <a:cubicBezTo>
                  <a:pt x="186792" y="26479"/>
                  <a:pt x="196126" y="43339"/>
                  <a:pt x="196126" y="66675"/>
                </a:cubicBezTo>
                <a:lnTo>
                  <a:pt x="162503" y="66675"/>
                </a:lnTo>
                <a:cubicBezTo>
                  <a:pt x="160788" y="55531"/>
                  <a:pt x="157264" y="46958"/>
                  <a:pt x="151549" y="40862"/>
                </a:cubicBezTo>
                <a:cubicBezTo>
                  <a:pt x="141167" y="30004"/>
                  <a:pt x="123546" y="24479"/>
                  <a:pt x="98781" y="24479"/>
                </a:cubicBezTo>
                <a:cubicBezTo>
                  <a:pt x="78588" y="24479"/>
                  <a:pt x="64205" y="28004"/>
                  <a:pt x="55442" y="35052"/>
                </a:cubicBezTo>
                <a:cubicBezTo>
                  <a:pt x="46679" y="42101"/>
                  <a:pt x="42298" y="50292"/>
                  <a:pt x="42298" y="59627"/>
                </a:cubicBezTo>
                <a:cubicBezTo>
                  <a:pt x="42298" y="69818"/>
                  <a:pt x="47441" y="77343"/>
                  <a:pt x="57823" y="82105"/>
                </a:cubicBezTo>
                <a:cubicBezTo>
                  <a:pt x="64681" y="85344"/>
                  <a:pt x="80112" y="89059"/>
                  <a:pt x="104020" y="93536"/>
                </a:cubicBezTo>
                <a:lnTo>
                  <a:pt x="139643" y="100013"/>
                </a:lnTo>
                <a:cubicBezTo>
                  <a:pt x="156883" y="103442"/>
                  <a:pt x="170123" y="107918"/>
                  <a:pt x="179553" y="113538"/>
                </a:cubicBezTo>
                <a:cubicBezTo>
                  <a:pt x="195745" y="123349"/>
                  <a:pt x="203841" y="137446"/>
                  <a:pt x="203841" y="156020"/>
                </a:cubicBezTo>
                <a:cubicBezTo>
                  <a:pt x="203841" y="179261"/>
                  <a:pt x="193554" y="195834"/>
                  <a:pt x="172981" y="205835"/>
                </a:cubicBezTo>
                <a:cubicBezTo>
                  <a:pt x="152311" y="215741"/>
                  <a:pt x="128404" y="220789"/>
                  <a:pt x="101162" y="220789"/>
                </a:cubicBezTo>
                <a:cubicBezTo>
                  <a:pt x="69444" y="220789"/>
                  <a:pt x="44488" y="214122"/>
                  <a:pt x="26486" y="200787"/>
                </a:cubicBezTo>
                <a:cubicBezTo>
                  <a:pt x="8484" y="187547"/>
                  <a:pt x="-279" y="169640"/>
                  <a:pt x="7" y="146971"/>
                </a:cubicBezTo>
                <a:lnTo>
                  <a:pt x="33725" y="14697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5" name="Forma Livre: Forma 24">
            <a:extLst>
              <a:ext uri="{FF2B5EF4-FFF2-40B4-BE49-F238E27FC236}">
                <a16:creationId xmlns:a16="http://schemas.microsoft.com/office/drawing/2014/main" id="{BB8F363D-E623-1537-0780-4069980C2596}"/>
              </a:ext>
            </a:extLst>
          </xdr:cNvPr>
          <xdr:cNvSpPr/>
        </xdr:nvSpPr>
        <xdr:spPr>
          <a:xfrm>
            <a:off x="12085242" y="11578377"/>
            <a:ext cx="234315" cy="209931"/>
          </a:xfrm>
          <a:custGeom>
            <a:avLst/>
            <a:gdLst>
              <a:gd name="connsiteX0" fmla="*/ 157925 w 234315"/>
              <a:gd name="connsiteY0" fmla="*/ 123635 h 209931"/>
              <a:gd name="connsiteX1" fmla="*/ 117634 w 234315"/>
              <a:gd name="connsiteY1" fmla="*/ 31052 h 209931"/>
              <a:gd name="connsiteX2" fmla="*/ 75629 w 234315"/>
              <a:gd name="connsiteY2" fmla="*/ 123635 h 209931"/>
              <a:gd name="connsiteX3" fmla="*/ 157925 w 234315"/>
              <a:gd name="connsiteY3" fmla="*/ 123635 h 209931"/>
              <a:gd name="connsiteX4" fmla="*/ 99060 w 234315"/>
              <a:gd name="connsiteY4" fmla="*/ 0 h 209931"/>
              <a:gd name="connsiteX5" fmla="*/ 139161 w 234315"/>
              <a:gd name="connsiteY5" fmla="*/ 0 h 209931"/>
              <a:gd name="connsiteX6" fmla="*/ 234315 w 234315"/>
              <a:gd name="connsiteY6" fmla="*/ 209931 h 209931"/>
              <a:gd name="connsiteX7" fmla="*/ 195358 w 234315"/>
              <a:gd name="connsiteY7" fmla="*/ 209931 h 209931"/>
              <a:gd name="connsiteX8" fmla="*/ 167830 w 234315"/>
              <a:gd name="connsiteY8" fmla="*/ 146685 h 209931"/>
              <a:gd name="connsiteX9" fmla="*/ 65151 w 234315"/>
              <a:gd name="connsiteY9" fmla="*/ 146685 h 209931"/>
              <a:gd name="connsiteX10" fmla="*/ 36481 w 234315"/>
              <a:gd name="connsiteY10" fmla="*/ 209931 h 209931"/>
              <a:gd name="connsiteX11" fmla="*/ 0 w 234315"/>
              <a:gd name="connsiteY11" fmla="*/ 209931 h 209931"/>
              <a:gd name="connsiteX12" fmla="*/ 99060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925" y="123635"/>
                </a:moveTo>
                <a:lnTo>
                  <a:pt x="117634" y="31052"/>
                </a:lnTo>
                <a:lnTo>
                  <a:pt x="75629" y="123635"/>
                </a:lnTo>
                <a:lnTo>
                  <a:pt x="157925" y="123635"/>
                </a:lnTo>
                <a:close/>
                <a:moveTo>
                  <a:pt x="99060" y="0"/>
                </a:moveTo>
                <a:lnTo>
                  <a:pt x="139161" y="0"/>
                </a:lnTo>
                <a:lnTo>
                  <a:pt x="234315" y="209931"/>
                </a:lnTo>
                <a:lnTo>
                  <a:pt x="195358" y="209931"/>
                </a:lnTo>
                <a:lnTo>
                  <a:pt x="167830" y="146685"/>
                </a:lnTo>
                <a:lnTo>
                  <a:pt x="65151" y="146685"/>
                </a:lnTo>
                <a:lnTo>
                  <a:pt x="36481" y="209931"/>
                </a:lnTo>
                <a:lnTo>
                  <a:pt x="0" y="209931"/>
                </a:lnTo>
                <a:lnTo>
                  <a:pt x="9906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6" name="Forma Livre: Forma 25">
            <a:extLst>
              <a:ext uri="{FF2B5EF4-FFF2-40B4-BE49-F238E27FC236}">
                <a16:creationId xmlns:a16="http://schemas.microsoft.com/office/drawing/2014/main" id="{8C650D0F-A50C-DB89-F4FA-0A3E9F806238}"/>
              </a:ext>
            </a:extLst>
          </xdr:cNvPr>
          <xdr:cNvSpPr/>
        </xdr:nvSpPr>
        <xdr:spPr>
          <a:xfrm>
            <a:off x="12341178" y="11578377"/>
            <a:ext cx="167354" cy="209931"/>
          </a:xfrm>
          <a:custGeom>
            <a:avLst/>
            <a:gdLst>
              <a:gd name="connsiteX0" fmla="*/ 0 w 167354"/>
              <a:gd name="connsiteY0" fmla="*/ 0 h 209931"/>
              <a:gd name="connsiteX1" fmla="*/ 36005 w 167354"/>
              <a:gd name="connsiteY1" fmla="*/ 0 h 209931"/>
              <a:gd name="connsiteX2" fmla="*/ 36005 w 167354"/>
              <a:gd name="connsiteY2" fmla="*/ 184976 h 209931"/>
              <a:gd name="connsiteX3" fmla="*/ 167354 w 167354"/>
              <a:gd name="connsiteY3" fmla="*/ 184976 h 209931"/>
              <a:gd name="connsiteX4" fmla="*/ 167354 w 167354"/>
              <a:gd name="connsiteY4" fmla="*/ 209931 h 209931"/>
              <a:gd name="connsiteX5" fmla="*/ 0 w 167354"/>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354" h="209931">
                <a:moveTo>
                  <a:pt x="0" y="0"/>
                </a:moveTo>
                <a:lnTo>
                  <a:pt x="36005" y="0"/>
                </a:lnTo>
                <a:lnTo>
                  <a:pt x="36005" y="184976"/>
                </a:lnTo>
                <a:lnTo>
                  <a:pt x="167354" y="184976"/>
                </a:lnTo>
                <a:lnTo>
                  <a:pt x="167354"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grpSp>
    <xdr:clientData/>
  </xdr:absoluteAnchor>
  <xdr:twoCellAnchor>
    <xdr:from>
      <xdr:col>13</xdr:col>
      <xdr:colOff>319030</xdr:colOff>
      <xdr:row>4</xdr:row>
      <xdr:rowOff>150871</xdr:rowOff>
    </xdr:from>
    <xdr:to>
      <xdr:col>16</xdr:col>
      <xdr:colOff>543192</xdr:colOff>
      <xdr:row>17</xdr:row>
      <xdr:rowOff>155155</xdr:rowOff>
    </xdr:to>
    <mc:AlternateContent xmlns:mc="http://schemas.openxmlformats.org/markup-compatibility/2006">
      <mc:Choice xmlns:cx1="http://schemas.microsoft.com/office/drawing/2015/9/8/chartex" Requires="cx1">
        <xdr:graphicFrame macro="">
          <xdr:nvGraphicFramePr>
            <xdr:cNvPr id="17" name="Gráfico 16">
              <a:extLst>
                <a:ext uri="{FF2B5EF4-FFF2-40B4-BE49-F238E27FC236}">
                  <a16:creationId xmlns:a16="http://schemas.microsoft.com/office/drawing/2014/main" id="{2DBD9DA0-75FA-4E3A-A01A-2B262968BB4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568055" y="1017646"/>
              <a:ext cx="2052962" cy="2823684"/>
            </a:xfrm>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twoCellAnchor>
    <xdr:from>
      <xdr:col>17</xdr:col>
      <xdr:colOff>97163</xdr:colOff>
      <xdr:row>4</xdr:row>
      <xdr:rowOff>143220</xdr:rowOff>
    </xdr:from>
    <xdr:to>
      <xdr:col>20</xdr:col>
      <xdr:colOff>443735</xdr:colOff>
      <xdr:row>17</xdr:row>
      <xdr:rowOff>147504</xdr:rowOff>
    </xdr:to>
    <mc:AlternateContent xmlns:mc="http://schemas.openxmlformats.org/markup-compatibility/2006">
      <mc:Choice xmlns:cx1="http://schemas.microsoft.com/office/drawing/2015/9/8/chartex" Requires="cx1">
        <xdr:graphicFrame macro="">
          <xdr:nvGraphicFramePr>
            <xdr:cNvPr id="18" name="Gráfico 17">
              <a:extLst>
                <a:ext uri="{FF2B5EF4-FFF2-40B4-BE49-F238E27FC236}">
                  <a16:creationId xmlns:a16="http://schemas.microsoft.com/office/drawing/2014/main" id="{BA9565A6-FA20-4EB0-8137-EA2514E784F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784588" y="1009995"/>
              <a:ext cx="2175372" cy="2823684"/>
            </a:xfrm>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absoluteAnchor>
    <xdr:pos x="160131" y="127000"/>
    <xdr:ext cx="1516540" cy="129540"/>
    <xdr:grpSp>
      <xdr:nvGrpSpPr>
        <xdr:cNvPr id="2" name="Agrupar 11">
          <a:extLst>
            <a:ext uri="{FF2B5EF4-FFF2-40B4-BE49-F238E27FC236}">
              <a16:creationId xmlns:a16="http://schemas.microsoft.com/office/drawing/2014/main" id="{C1AAE24E-8CD7-4487-9B6C-899459108208}"/>
            </a:ext>
          </a:extLst>
        </xdr:cNvPr>
        <xdr:cNvGrpSpPr/>
      </xdr:nvGrpSpPr>
      <xdr:grpSpPr>
        <a:xfrm>
          <a:off x="160131" y="127000"/>
          <a:ext cx="1516540" cy="129540"/>
          <a:chOff x="8887890" y="11505511"/>
          <a:chExt cx="3620642" cy="289559"/>
        </a:xfrm>
        <a:solidFill>
          <a:schemeClr val="bg1"/>
        </a:solidFill>
      </xdr:grpSpPr>
      <xdr:sp macro="" textlink="">
        <xdr:nvSpPr>
          <xdr:cNvPr id="3" name="Forma Livre: Forma 12">
            <a:extLst>
              <a:ext uri="{FF2B5EF4-FFF2-40B4-BE49-F238E27FC236}">
                <a16:creationId xmlns:a16="http://schemas.microsoft.com/office/drawing/2014/main" id="{08D36F8B-BAE4-EEC3-C4A8-5E2044B85FA9}"/>
              </a:ext>
            </a:extLst>
          </xdr:cNvPr>
          <xdr:cNvSpPr/>
        </xdr:nvSpPr>
        <xdr:spPr>
          <a:xfrm>
            <a:off x="8887890" y="11505511"/>
            <a:ext cx="316801" cy="282797"/>
          </a:xfrm>
          <a:custGeom>
            <a:avLst/>
            <a:gdLst>
              <a:gd name="connsiteX0" fmla="*/ 213932 w 316801"/>
              <a:gd name="connsiteY0" fmla="*/ 166688 h 282797"/>
              <a:gd name="connsiteX1" fmla="*/ 159639 w 316801"/>
              <a:gd name="connsiteY1" fmla="*/ 41815 h 282797"/>
              <a:gd name="connsiteX2" fmla="*/ 103061 w 316801"/>
              <a:gd name="connsiteY2" fmla="*/ 166688 h 282797"/>
              <a:gd name="connsiteX3" fmla="*/ 213932 w 316801"/>
              <a:gd name="connsiteY3" fmla="*/ 166688 h 282797"/>
              <a:gd name="connsiteX4" fmla="*/ 133445 w 316801"/>
              <a:gd name="connsiteY4" fmla="*/ 0 h 282797"/>
              <a:gd name="connsiteX5" fmla="*/ 188786 w 316801"/>
              <a:gd name="connsiteY5" fmla="*/ 0 h 282797"/>
              <a:gd name="connsiteX6" fmla="*/ 316802 w 316801"/>
              <a:gd name="connsiteY6" fmla="*/ 282797 h 282797"/>
              <a:gd name="connsiteX7" fmla="*/ 264414 w 316801"/>
              <a:gd name="connsiteY7" fmla="*/ 282797 h 282797"/>
              <a:gd name="connsiteX8" fmla="*/ 227266 w 316801"/>
              <a:gd name="connsiteY8" fmla="*/ 197453 h 282797"/>
              <a:gd name="connsiteX9" fmla="*/ 89154 w 316801"/>
              <a:gd name="connsiteY9" fmla="*/ 197453 h 282797"/>
              <a:gd name="connsiteX10" fmla="*/ 50482 w 316801"/>
              <a:gd name="connsiteY10" fmla="*/ 282797 h 282797"/>
              <a:gd name="connsiteX11" fmla="*/ 0 w 316801"/>
              <a:gd name="connsiteY11" fmla="*/ 282797 h 282797"/>
              <a:gd name="connsiteX12" fmla="*/ 133445 w 316801"/>
              <a:gd name="connsiteY12"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16801" h="282797">
                <a:moveTo>
                  <a:pt x="213932" y="166688"/>
                </a:moveTo>
                <a:lnTo>
                  <a:pt x="159639" y="41815"/>
                </a:lnTo>
                <a:lnTo>
                  <a:pt x="103061" y="166688"/>
                </a:lnTo>
                <a:lnTo>
                  <a:pt x="213932" y="166688"/>
                </a:lnTo>
                <a:close/>
                <a:moveTo>
                  <a:pt x="133445" y="0"/>
                </a:moveTo>
                <a:lnTo>
                  <a:pt x="188786" y="0"/>
                </a:lnTo>
                <a:lnTo>
                  <a:pt x="316802" y="282797"/>
                </a:lnTo>
                <a:lnTo>
                  <a:pt x="264414" y="282797"/>
                </a:lnTo>
                <a:lnTo>
                  <a:pt x="227266" y="197453"/>
                </a:lnTo>
                <a:lnTo>
                  <a:pt x="89154" y="197453"/>
                </a:lnTo>
                <a:lnTo>
                  <a:pt x="50482" y="282797"/>
                </a:lnTo>
                <a:lnTo>
                  <a:pt x="0" y="282797"/>
                </a:lnTo>
                <a:lnTo>
                  <a:pt x="13344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4" name="Forma Livre: Forma 13">
            <a:extLst>
              <a:ext uri="{FF2B5EF4-FFF2-40B4-BE49-F238E27FC236}">
                <a16:creationId xmlns:a16="http://schemas.microsoft.com/office/drawing/2014/main" id="{384218D1-FB83-79E1-4086-60AFA8C0E9BC}"/>
              </a:ext>
            </a:extLst>
          </xdr:cNvPr>
          <xdr:cNvSpPr/>
        </xdr:nvSpPr>
        <xdr:spPr>
          <a:xfrm>
            <a:off x="9234505" y="11578377"/>
            <a:ext cx="167258" cy="209931"/>
          </a:xfrm>
          <a:custGeom>
            <a:avLst/>
            <a:gdLst>
              <a:gd name="connsiteX0" fmla="*/ 0 w 167258"/>
              <a:gd name="connsiteY0" fmla="*/ 0 h 209931"/>
              <a:gd name="connsiteX1" fmla="*/ 35909 w 167258"/>
              <a:gd name="connsiteY1" fmla="*/ 0 h 209931"/>
              <a:gd name="connsiteX2" fmla="*/ 35909 w 167258"/>
              <a:gd name="connsiteY2" fmla="*/ 184976 h 209931"/>
              <a:gd name="connsiteX3" fmla="*/ 167259 w 167258"/>
              <a:gd name="connsiteY3" fmla="*/ 184976 h 209931"/>
              <a:gd name="connsiteX4" fmla="*/ 167259 w 167258"/>
              <a:gd name="connsiteY4" fmla="*/ 209931 h 209931"/>
              <a:gd name="connsiteX5" fmla="*/ 0 w 167258"/>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258" h="209931">
                <a:moveTo>
                  <a:pt x="0" y="0"/>
                </a:moveTo>
                <a:lnTo>
                  <a:pt x="35909" y="0"/>
                </a:lnTo>
                <a:lnTo>
                  <a:pt x="35909" y="184976"/>
                </a:lnTo>
                <a:lnTo>
                  <a:pt x="167259" y="184976"/>
                </a:lnTo>
                <a:lnTo>
                  <a:pt x="167259"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5" name="Forma Livre: Forma 14">
            <a:extLst>
              <a:ext uri="{FF2B5EF4-FFF2-40B4-BE49-F238E27FC236}">
                <a16:creationId xmlns:a16="http://schemas.microsoft.com/office/drawing/2014/main" id="{A0A5CA34-5BF2-10AC-6230-5CE0BFC0676C}"/>
              </a:ext>
            </a:extLst>
          </xdr:cNvPr>
          <xdr:cNvSpPr/>
        </xdr:nvSpPr>
        <xdr:spPr>
          <a:xfrm>
            <a:off x="9366140" y="11578377"/>
            <a:ext cx="229171" cy="209931"/>
          </a:xfrm>
          <a:custGeom>
            <a:avLst/>
            <a:gdLst>
              <a:gd name="connsiteX0" fmla="*/ 39338 w 229171"/>
              <a:gd name="connsiteY0" fmla="*/ 0 h 209931"/>
              <a:gd name="connsiteX1" fmla="*/ 114585 w 229171"/>
              <a:gd name="connsiteY1" fmla="*/ 178689 h 209931"/>
              <a:gd name="connsiteX2" fmla="*/ 189357 w 229171"/>
              <a:gd name="connsiteY2" fmla="*/ 0 h 209931"/>
              <a:gd name="connsiteX3" fmla="*/ 229171 w 229171"/>
              <a:gd name="connsiteY3" fmla="*/ 0 h 209931"/>
              <a:gd name="connsiteX4" fmla="*/ 133159 w 229171"/>
              <a:gd name="connsiteY4" fmla="*/ 209931 h 209931"/>
              <a:gd name="connsiteX5" fmla="*/ 95440 w 229171"/>
              <a:gd name="connsiteY5" fmla="*/ 209931 h 209931"/>
              <a:gd name="connsiteX6" fmla="*/ 0 w 229171"/>
              <a:gd name="connsiteY6"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9171" h="209931">
                <a:moveTo>
                  <a:pt x="39338" y="0"/>
                </a:moveTo>
                <a:lnTo>
                  <a:pt x="114585" y="178689"/>
                </a:lnTo>
                <a:lnTo>
                  <a:pt x="189357" y="0"/>
                </a:lnTo>
                <a:lnTo>
                  <a:pt x="229171" y="0"/>
                </a:lnTo>
                <a:lnTo>
                  <a:pt x="133159" y="209931"/>
                </a:lnTo>
                <a:lnTo>
                  <a:pt x="95440" y="209931"/>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6" name="Forma Livre: Forma 15">
            <a:extLst>
              <a:ext uri="{FF2B5EF4-FFF2-40B4-BE49-F238E27FC236}">
                <a16:creationId xmlns:a16="http://schemas.microsoft.com/office/drawing/2014/main" id="{55EE4464-A47D-D9EF-3043-5DA278402CBE}"/>
              </a:ext>
            </a:extLst>
          </xdr:cNvPr>
          <xdr:cNvSpPr/>
        </xdr:nvSpPr>
        <xdr:spPr>
          <a:xfrm>
            <a:off x="9549115" y="11578377"/>
            <a:ext cx="234315" cy="209931"/>
          </a:xfrm>
          <a:custGeom>
            <a:avLst/>
            <a:gdLst>
              <a:gd name="connsiteX0" fmla="*/ 157639 w 234315"/>
              <a:gd name="connsiteY0" fmla="*/ 123635 h 209931"/>
              <a:gd name="connsiteX1" fmla="*/ 117348 w 234315"/>
              <a:gd name="connsiteY1" fmla="*/ 31052 h 209931"/>
              <a:gd name="connsiteX2" fmla="*/ 75438 w 234315"/>
              <a:gd name="connsiteY2" fmla="*/ 123635 h 209931"/>
              <a:gd name="connsiteX3" fmla="*/ 157639 w 234315"/>
              <a:gd name="connsiteY3" fmla="*/ 123635 h 209931"/>
              <a:gd name="connsiteX4" fmla="*/ 98965 w 234315"/>
              <a:gd name="connsiteY4" fmla="*/ 0 h 209931"/>
              <a:gd name="connsiteX5" fmla="*/ 139065 w 234315"/>
              <a:gd name="connsiteY5" fmla="*/ 0 h 209931"/>
              <a:gd name="connsiteX6" fmla="*/ 234315 w 234315"/>
              <a:gd name="connsiteY6" fmla="*/ 209931 h 209931"/>
              <a:gd name="connsiteX7" fmla="*/ 195358 w 234315"/>
              <a:gd name="connsiteY7" fmla="*/ 209931 h 209931"/>
              <a:gd name="connsiteX8" fmla="*/ 167736 w 234315"/>
              <a:gd name="connsiteY8" fmla="*/ 146685 h 209931"/>
              <a:gd name="connsiteX9" fmla="*/ 65056 w 234315"/>
              <a:gd name="connsiteY9" fmla="*/ 146685 h 209931"/>
              <a:gd name="connsiteX10" fmla="*/ 36481 w 234315"/>
              <a:gd name="connsiteY10" fmla="*/ 209931 h 209931"/>
              <a:gd name="connsiteX11" fmla="*/ 0 w 234315"/>
              <a:gd name="connsiteY11" fmla="*/ 209931 h 209931"/>
              <a:gd name="connsiteX12" fmla="*/ 98965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639" y="123635"/>
                </a:moveTo>
                <a:lnTo>
                  <a:pt x="117348" y="31052"/>
                </a:lnTo>
                <a:lnTo>
                  <a:pt x="75438" y="123635"/>
                </a:lnTo>
                <a:lnTo>
                  <a:pt x="157639" y="123635"/>
                </a:lnTo>
                <a:close/>
                <a:moveTo>
                  <a:pt x="98965" y="0"/>
                </a:moveTo>
                <a:lnTo>
                  <a:pt x="139065" y="0"/>
                </a:lnTo>
                <a:lnTo>
                  <a:pt x="234315" y="209931"/>
                </a:lnTo>
                <a:lnTo>
                  <a:pt x="195358" y="209931"/>
                </a:lnTo>
                <a:lnTo>
                  <a:pt x="167736"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7" name="Forma Livre: Forma 16">
            <a:extLst>
              <a:ext uri="{FF2B5EF4-FFF2-40B4-BE49-F238E27FC236}">
                <a16:creationId xmlns:a16="http://schemas.microsoft.com/office/drawing/2014/main" id="{CC58DF4A-468B-95A7-4F88-138A9C2243D2}"/>
              </a:ext>
            </a:extLst>
          </xdr:cNvPr>
          <xdr:cNvSpPr/>
        </xdr:nvSpPr>
        <xdr:spPr>
          <a:xfrm>
            <a:off x="9811815" y="11578377"/>
            <a:ext cx="213836" cy="209835"/>
          </a:xfrm>
          <a:custGeom>
            <a:avLst/>
            <a:gdLst>
              <a:gd name="connsiteX0" fmla="*/ 115158 w 213836"/>
              <a:gd name="connsiteY0" fmla="*/ 96298 h 209835"/>
              <a:gd name="connsiteX1" fmla="*/ 153258 w 213836"/>
              <a:gd name="connsiteY1" fmla="*/ 88297 h 209835"/>
              <a:gd name="connsiteX2" fmla="*/ 167259 w 213836"/>
              <a:gd name="connsiteY2" fmla="*/ 59627 h 209835"/>
              <a:gd name="connsiteX3" fmla="*/ 147638 w 213836"/>
              <a:gd name="connsiteY3" fmla="*/ 29146 h 209835"/>
              <a:gd name="connsiteX4" fmla="*/ 119634 w 213836"/>
              <a:gd name="connsiteY4" fmla="*/ 24860 h 209835"/>
              <a:gd name="connsiteX5" fmla="*/ 35909 w 213836"/>
              <a:gd name="connsiteY5" fmla="*/ 24860 h 209835"/>
              <a:gd name="connsiteX6" fmla="*/ 35909 w 213836"/>
              <a:gd name="connsiteY6" fmla="*/ 96298 h 209835"/>
              <a:gd name="connsiteX7" fmla="*/ 115158 w 213836"/>
              <a:gd name="connsiteY7" fmla="*/ 96298 h 209835"/>
              <a:gd name="connsiteX8" fmla="*/ 0 w 213836"/>
              <a:gd name="connsiteY8" fmla="*/ 0 h 209835"/>
              <a:gd name="connsiteX9" fmla="*/ 119063 w 213836"/>
              <a:gd name="connsiteY9" fmla="*/ 0 h 209835"/>
              <a:gd name="connsiteX10" fmla="*/ 167450 w 213836"/>
              <a:gd name="connsiteY10" fmla="*/ 6953 h 209835"/>
              <a:gd name="connsiteX11" fmla="*/ 203740 w 213836"/>
              <a:gd name="connsiteY11" fmla="*/ 56674 h 209835"/>
              <a:gd name="connsiteX12" fmla="*/ 193929 w 213836"/>
              <a:gd name="connsiteY12" fmla="*/ 87439 h 209835"/>
              <a:gd name="connsiteX13" fmla="*/ 166497 w 213836"/>
              <a:gd name="connsiteY13" fmla="*/ 106775 h 209835"/>
              <a:gd name="connsiteX14" fmla="*/ 189738 w 213836"/>
              <a:gd name="connsiteY14" fmla="*/ 119920 h 209835"/>
              <a:gd name="connsiteX15" fmla="*/ 198406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49 w 213836"/>
              <a:gd name="connsiteY22" fmla="*/ 186404 h 209835"/>
              <a:gd name="connsiteX23" fmla="*/ 163544 w 213836"/>
              <a:gd name="connsiteY23" fmla="*/ 151257 h 209835"/>
              <a:gd name="connsiteX24" fmla="*/ 145066 w 213836"/>
              <a:gd name="connsiteY24" fmla="*/ 123635 h 209835"/>
              <a:gd name="connsiteX25" fmla="*/ 114205 w 213836"/>
              <a:gd name="connsiteY25" fmla="*/ 119729 h 209835"/>
              <a:gd name="connsiteX26" fmla="*/ 36005 w 213836"/>
              <a:gd name="connsiteY26" fmla="*/ 119729 h 209835"/>
              <a:gd name="connsiteX27" fmla="*/ 36005 w 213836"/>
              <a:gd name="connsiteY27" fmla="*/ 209836 h 209835"/>
              <a:gd name="connsiteX28" fmla="*/ 95 w 213836"/>
              <a:gd name="connsiteY28" fmla="*/ 209836 h 209835"/>
              <a:gd name="connsiteX29" fmla="*/ 95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158" y="96298"/>
                </a:moveTo>
                <a:cubicBezTo>
                  <a:pt x="131255" y="96298"/>
                  <a:pt x="143923" y="93631"/>
                  <a:pt x="153258" y="88297"/>
                </a:cubicBezTo>
                <a:cubicBezTo>
                  <a:pt x="162687" y="82963"/>
                  <a:pt x="167259" y="73343"/>
                  <a:pt x="167259" y="59627"/>
                </a:cubicBezTo>
                <a:cubicBezTo>
                  <a:pt x="167259" y="44672"/>
                  <a:pt x="160782" y="34480"/>
                  <a:pt x="147638" y="29146"/>
                </a:cubicBezTo>
                <a:cubicBezTo>
                  <a:pt x="140684" y="26289"/>
                  <a:pt x="131255" y="24860"/>
                  <a:pt x="119634" y="24860"/>
                </a:cubicBezTo>
                <a:lnTo>
                  <a:pt x="35909" y="24860"/>
                </a:lnTo>
                <a:lnTo>
                  <a:pt x="35909" y="96298"/>
                </a:lnTo>
                <a:lnTo>
                  <a:pt x="115158" y="96298"/>
                </a:lnTo>
                <a:close/>
                <a:moveTo>
                  <a:pt x="0" y="0"/>
                </a:moveTo>
                <a:lnTo>
                  <a:pt x="119063" y="0"/>
                </a:lnTo>
                <a:cubicBezTo>
                  <a:pt x="138684" y="0"/>
                  <a:pt x="154781" y="2286"/>
                  <a:pt x="167450" y="6953"/>
                </a:cubicBezTo>
                <a:cubicBezTo>
                  <a:pt x="191643" y="16002"/>
                  <a:pt x="203740" y="32576"/>
                  <a:pt x="203740" y="56674"/>
                </a:cubicBezTo>
                <a:cubicBezTo>
                  <a:pt x="203740" y="69247"/>
                  <a:pt x="200501" y="79438"/>
                  <a:pt x="193929" y="87439"/>
                </a:cubicBezTo>
                <a:cubicBezTo>
                  <a:pt x="187357" y="95440"/>
                  <a:pt x="178213" y="101918"/>
                  <a:pt x="166497" y="106775"/>
                </a:cubicBezTo>
                <a:cubicBezTo>
                  <a:pt x="176879" y="110109"/>
                  <a:pt x="184595" y="114395"/>
                  <a:pt x="189738" y="119920"/>
                </a:cubicBezTo>
                <a:cubicBezTo>
                  <a:pt x="194977" y="125349"/>
                  <a:pt x="197834" y="134112"/>
                  <a:pt x="198406" y="146304"/>
                </a:cubicBezTo>
                <a:lnTo>
                  <a:pt x="199930" y="174403"/>
                </a:lnTo>
                <a:cubicBezTo>
                  <a:pt x="200311" y="182404"/>
                  <a:pt x="201073" y="188404"/>
                  <a:pt x="202406" y="192214"/>
                </a:cubicBezTo>
                <a:cubicBezTo>
                  <a:pt x="204597" y="198882"/>
                  <a:pt x="208312" y="203168"/>
                  <a:pt x="213836" y="204978"/>
                </a:cubicBezTo>
                <a:lnTo>
                  <a:pt x="213836" y="209836"/>
                </a:lnTo>
                <a:lnTo>
                  <a:pt x="169831" y="209836"/>
                </a:lnTo>
                <a:cubicBezTo>
                  <a:pt x="168688" y="208026"/>
                  <a:pt x="167735" y="205740"/>
                  <a:pt x="167069" y="202787"/>
                </a:cubicBezTo>
                <a:cubicBezTo>
                  <a:pt x="166402" y="199930"/>
                  <a:pt x="165831" y="194405"/>
                  <a:pt x="165449" y="186404"/>
                </a:cubicBezTo>
                <a:lnTo>
                  <a:pt x="163544" y="151257"/>
                </a:lnTo>
                <a:cubicBezTo>
                  <a:pt x="162783" y="137446"/>
                  <a:pt x="156591" y="128302"/>
                  <a:pt x="145066" y="123635"/>
                </a:cubicBezTo>
                <a:cubicBezTo>
                  <a:pt x="138494" y="120968"/>
                  <a:pt x="128207" y="119729"/>
                  <a:pt x="114205" y="119729"/>
                </a:cubicBezTo>
                <a:lnTo>
                  <a:pt x="36005" y="119729"/>
                </a:lnTo>
                <a:lnTo>
                  <a:pt x="36005" y="209836"/>
                </a:lnTo>
                <a:lnTo>
                  <a:pt x="95" y="209836"/>
                </a:lnTo>
                <a:lnTo>
                  <a:pt x="9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8" name="Forma Livre: Forma 17">
            <a:extLst>
              <a:ext uri="{FF2B5EF4-FFF2-40B4-BE49-F238E27FC236}">
                <a16:creationId xmlns:a16="http://schemas.microsoft.com/office/drawing/2014/main" id="{88D7735E-7049-5DB4-95C6-C368DAEAB972}"/>
              </a:ext>
            </a:extLst>
          </xdr:cNvPr>
          <xdr:cNvSpPr/>
        </xdr:nvSpPr>
        <xdr:spPr>
          <a:xfrm>
            <a:off x="10052797" y="11578377"/>
            <a:ext cx="168497" cy="209931"/>
          </a:xfrm>
          <a:custGeom>
            <a:avLst/>
            <a:gdLst>
              <a:gd name="connsiteX0" fmla="*/ 0 w 168497"/>
              <a:gd name="connsiteY0" fmla="*/ 0 h 209931"/>
              <a:gd name="connsiteX1" fmla="*/ 166878 w 168497"/>
              <a:gd name="connsiteY1" fmla="*/ 0 h 209931"/>
              <a:gd name="connsiteX2" fmla="*/ 166878 w 168497"/>
              <a:gd name="connsiteY2" fmla="*/ 25337 h 209931"/>
              <a:gd name="connsiteX3" fmla="*/ 30004 w 168497"/>
              <a:gd name="connsiteY3" fmla="*/ 25337 h 209931"/>
              <a:gd name="connsiteX4" fmla="*/ 30004 w 168497"/>
              <a:gd name="connsiteY4" fmla="*/ 89059 h 209931"/>
              <a:gd name="connsiteX5" fmla="*/ 156496 w 168497"/>
              <a:gd name="connsiteY5" fmla="*/ 89059 h 209931"/>
              <a:gd name="connsiteX6" fmla="*/ 156496 w 168497"/>
              <a:gd name="connsiteY6" fmla="*/ 113919 h 209931"/>
              <a:gd name="connsiteX7" fmla="*/ 30004 w 168497"/>
              <a:gd name="connsiteY7" fmla="*/ 113919 h 209931"/>
              <a:gd name="connsiteX8" fmla="*/ 30004 w 168497"/>
              <a:gd name="connsiteY8" fmla="*/ 184976 h 209931"/>
              <a:gd name="connsiteX9" fmla="*/ 168497 w 168497"/>
              <a:gd name="connsiteY9" fmla="*/ 184976 h 209931"/>
              <a:gd name="connsiteX10" fmla="*/ 168497 w 168497"/>
              <a:gd name="connsiteY10" fmla="*/ 209931 h 209931"/>
              <a:gd name="connsiteX11" fmla="*/ 0 w 168497"/>
              <a:gd name="connsiteY11"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8497" h="209931">
                <a:moveTo>
                  <a:pt x="0" y="0"/>
                </a:moveTo>
                <a:lnTo>
                  <a:pt x="166878" y="0"/>
                </a:lnTo>
                <a:lnTo>
                  <a:pt x="166878" y="25337"/>
                </a:lnTo>
                <a:lnTo>
                  <a:pt x="30004" y="25337"/>
                </a:lnTo>
                <a:lnTo>
                  <a:pt x="30004" y="89059"/>
                </a:lnTo>
                <a:lnTo>
                  <a:pt x="156496" y="89059"/>
                </a:lnTo>
                <a:lnTo>
                  <a:pt x="156496" y="113919"/>
                </a:lnTo>
                <a:lnTo>
                  <a:pt x="30004" y="113919"/>
                </a:lnTo>
                <a:lnTo>
                  <a:pt x="30004" y="184976"/>
                </a:lnTo>
                <a:lnTo>
                  <a:pt x="168497" y="184976"/>
                </a:lnTo>
                <a:lnTo>
                  <a:pt x="168497"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9" name="Forma Livre: Forma 18">
            <a:extLst>
              <a:ext uri="{FF2B5EF4-FFF2-40B4-BE49-F238E27FC236}">
                <a16:creationId xmlns:a16="http://schemas.microsoft.com/office/drawing/2014/main" id="{C4407D5C-59DD-441E-8921-70A870970D13}"/>
              </a:ext>
            </a:extLst>
          </xdr:cNvPr>
          <xdr:cNvSpPr/>
        </xdr:nvSpPr>
        <xdr:spPr>
          <a:xfrm>
            <a:off x="10254442" y="11578377"/>
            <a:ext cx="206120" cy="209931"/>
          </a:xfrm>
          <a:custGeom>
            <a:avLst/>
            <a:gdLst>
              <a:gd name="connsiteX0" fmla="*/ 0 w 206120"/>
              <a:gd name="connsiteY0" fmla="*/ 186404 h 209931"/>
              <a:gd name="connsiteX1" fmla="*/ 160972 w 206120"/>
              <a:gd name="connsiteY1" fmla="*/ 24860 h 209931"/>
              <a:gd name="connsiteX2" fmla="*/ 12001 w 206120"/>
              <a:gd name="connsiteY2" fmla="*/ 24860 h 209931"/>
              <a:gd name="connsiteX3" fmla="*/ 12001 w 206120"/>
              <a:gd name="connsiteY3" fmla="*/ 0 h 209931"/>
              <a:gd name="connsiteX4" fmla="*/ 206121 w 206120"/>
              <a:gd name="connsiteY4" fmla="*/ 0 h 209931"/>
              <a:gd name="connsiteX5" fmla="*/ 206121 w 206120"/>
              <a:gd name="connsiteY5" fmla="*/ 24289 h 209931"/>
              <a:gd name="connsiteX6" fmla="*/ 44672 w 206120"/>
              <a:gd name="connsiteY6" fmla="*/ 184976 h 209931"/>
              <a:gd name="connsiteX7" fmla="*/ 206121 w 206120"/>
              <a:gd name="connsiteY7" fmla="*/ 184976 h 209931"/>
              <a:gd name="connsiteX8" fmla="*/ 206121 w 206120"/>
              <a:gd name="connsiteY8" fmla="*/ 209931 h 209931"/>
              <a:gd name="connsiteX9" fmla="*/ 0 w 206120"/>
              <a:gd name="connsiteY9"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06120" h="209931">
                <a:moveTo>
                  <a:pt x="0" y="186404"/>
                </a:moveTo>
                <a:lnTo>
                  <a:pt x="160972" y="24860"/>
                </a:lnTo>
                <a:lnTo>
                  <a:pt x="12001" y="24860"/>
                </a:lnTo>
                <a:lnTo>
                  <a:pt x="12001" y="0"/>
                </a:lnTo>
                <a:lnTo>
                  <a:pt x="206121" y="0"/>
                </a:lnTo>
                <a:lnTo>
                  <a:pt x="206121" y="24289"/>
                </a:lnTo>
                <a:lnTo>
                  <a:pt x="44672" y="184976"/>
                </a:lnTo>
                <a:lnTo>
                  <a:pt x="206121" y="184976"/>
                </a:lnTo>
                <a:lnTo>
                  <a:pt x="206121"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0" name="Forma Livre: Forma 19">
            <a:extLst>
              <a:ext uri="{FF2B5EF4-FFF2-40B4-BE49-F238E27FC236}">
                <a16:creationId xmlns:a16="http://schemas.microsoft.com/office/drawing/2014/main" id="{251B8D4D-D1A9-5EDA-9620-695C13E3D38F}"/>
              </a:ext>
            </a:extLst>
          </xdr:cNvPr>
          <xdr:cNvSpPr/>
        </xdr:nvSpPr>
        <xdr:spPr>
          <a:xfrm>
            <a:off x="10590198" y="11506463"/>
            <a:ext cx="294893" cy="288607"/>
          </a:xfrm>
          <a:custGeom>
            <a:avLst/>
            <a:gdLst>
              <a:gd name="connsiteX0" fmla="*/ 150686 w 294893"/>
              <a:gd name="connsiteY0" fmla="*/ 89344 h 288607"/>
              <a:gd name="connsiteX1" fmla="*/ 164878 w 294893"/>
              <a:gd name="connsiteY1" fmla="*/ 60293 h 288607"/>
              <a:gd name="connsiteX2" fmla="*/ 154591 w 294893"/>
              <a:gd name="connsiteY2" fmla="*/ 38767 h 288607"/>
              <a:gd name="connsiteX3" fmla="*/ 126682 w 294893"/>
              <a:gd name="connsiteY3" fmla="*/ 29623 h 288607"/>
              <a:gd name="connsiteX4" fmla="*/ 89630 w 294893"/>
              <a:gd name="connsiteY4" fmla="*/ 43910 h 288607"/>
              <a:gd name="connsiteX5" fmla="*/ 84296 w 294893"/>
              <a:gd name="connsiteY5" fmla="*/ 59817 h 288607"/>
              <a:gd name="connsiteX6" fmla="*/ 92392 w 294893"/>
              <a:gd name="connsiteY6" fmla="*/ 82296 h 288607"/>
              <a:gd name="connsiteX7" fmla="*/ 119348 w 294893"/>
              <a:gd name="connsiteY7" fmla="*/ 110395 h 288607"/>
              <a:gd name="connsiteX8" fmla="*/ 150686 w 294893"/>
              <a:gd name="connsiteY8" fmla="*/ 89344 h 288607"/>
              <a:gd name="connsiteX9" fmla="*/ 154114 w 294893"/>
              <a:gd name="connsiteY9" fmla="*/ 248983 h 288607"/>
              <a:gd name="connsiteX10" fmla="*/ 183546 w 294893"/>
              <a:gd name="connsiteY10" fmla="*/ 227076 h 288607"/>
              <a:gd name="connsiteX11" fmla="*/ 103727 w 294893"/>
              <a:gd name="connsiteY11" fmla="*/ 149257 h 288607"/>
              <a:gd name="connsiteX12" fmla="*/ 59817 w 294893"/>
              <a:gd name="connsiteY12" fmla="*/ 176879 h 288607"/>
              <a:gd name="connsiteX13" fmla="*/ 44101 w 294893"/>
              <a:gd name="connsiteY13" fmla="*/ 212026 h 288607"/>
              <a:gd name="connsiteX14" fmla="*/ 64579 w 294893"/>
              <a:gd name="connsiteY14" fmla="*/ 246697 h 288607"/>
              <a:gd name="connsiteX15" fmla="*/ 108395 w 294893"/>
              <a:gd name="connsiteY15" fmla="*/ 258699 h 288607"/>
              <a:gd name="connsiteX16" fmla="*/ 154114 w 294893"/>
              <a:gd name="connsiteY16" fmla="*/ 248983 h 288607"/>
              <a:gd name="connsiteX17" fmla="*/ 49816 w 294893"/>
              <a:gd name="connsiteY17" fmla="*/ 90964 h 288607"/>
              <a:gd name="connsiteX18" fmla="*/ 42196 w 294893"/>
              <a:gd name="connsiteY18" fmla="*/ 63722 h 288607"/>
              <a:gd name="connsiteX19" fmla="*/ 65246 w 294893"/>
              <a:gd name="connsiteY19" fmla="*/ 18193 h 288607"/>
              <a:gd name="connsiteX20" fmla="*/ 127063 w 294893"/>
              <a:gd name="connsiteY20" fmla="*/ 0 h 288607"/>
              <a:gd name="connsiteX21" fmla="*/ 184499 w 294893"/>
              <a:gd name="connsiteY21" fmla="*/ 16859 h 288607"/>
              <a:gd name="connsiteX22" fmla="*/ 205264 w 294893"/>
              <a:gd name="connsiteY22" fmla="*/ 57150 h 288607"/>
              <a:gd name="connsiteX23" fmla="*/ 183832 w 294893"/>
              <a:gd name="connsiteY23" fmla="*/ 104965 h 288607"/>
              <a:gd name="connsiteX24" fmla="*/ 142018 w 294893"/>
              <a:gd name="connsiteY24" fmla="*/ 132588 h 288607"/>
              <a:gd name="connsiteX25" fmla="*/ 206407 w 294893"/>
              <a:gd name="connsiteY25" fmla="*/ 194024 h 288607"/>
              <a:gd name="connsiteX26" fmla="*/ 214693 w 294893"/>
              <a:gd name="connsiteY26" fmla="*/ 170974 h 288607"/>
              <a:gd name="connsiteX27" fmla="*/ 219456 w 294893"/>
              <a:gd name="connsiteY27" fmla="*/ 149542 h 288607"/>
              <a:gd name="connsiteX28" fmla="*/ 261651 w 294893"/>
              <a:gd name="connsiteY28" fmla="*/ 149542 h 288607"/>
              <a:gd name="connsiteX29" fmla="*/ 245269 w 294893"/>
              <a:gd name="connsiteY29" fmla="*/ 201739 h 288607"/>
              <a:gd name="connsiteX30" fmla="*/ 233076 w 294893"/>
              <a:gd name="connsiteY30" fmla="*/ 221837 h 288607"/>
              <a:gd name="connsiteX31" fmla="*/ 294894 w 294893"/>
              <a:gd name="connsiteY31" fmla="*/ 281940 h 288607"/>
              <a:gd name="connsiteX32" fmla="*/ 240030 w 294893"/>
              <a:gd name="connsiteY32" fmla="*/ 281940 h 288607"/>
              <a:gd name="connsiteX33" fmla="*/ 206883 w 294893"/>
              <a:gd name="connsiteY33" fmla="*/ 250412 h 288607"/>
              <a:gd name="connsiteX34" fmla="*/ 170783 w 294893"/>
              <a:gd name="connsiteY34" fmla="*/ 274987 h 288607"/>
              <a:gd name="connsiteX35" fmla="*/ 104965 w 294893"/>
              <a:gd name="connsiteY35" fmla="*/ 288607 h 288607"/>
              <a:gd name="connsiteX36" fmla="*/ 24860 w 294893"/>
              <a:gd name="connsiteY36" fmla="*/ 264890 h 288607"/>
              <a:gd name="connsiteX37" fmla="*/ 0 w 294893"/>
              <a:gd name="connsiteY37" fmla="*/ 211741 h 288607"/>
              <a:gd name="connsiteX38" fmla="*/ 24289 w 294893"/>
              <a:gd name="connsiteY38" fmla="*/ 158401 h 288607"/>
              <a:gd name="connsiteX39" fmla="*/ 79724 w 294893"/>
              <a:gd name="connsiteY39" fmla="*/ 125825 h 288607"/>
              <a:gd name="connsiteX40" fmla="*/ 49816 w 294893"/>
              <a:gd name="connsiteY40" fmla="*/ 90964 h 2886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294893" h="288607">
                <a:moveTo>
                  <a:pt x="150686" y="89344"/>
                </a:moveTo>
                <a:cubicBezTo>
                  <a:pt x="160115" y="80486"/>
                  <a:pt x="164878" y="70866"/>
                  <a:pt x="164878" y="60293"/>
                </a:cubicBezTo>
                <a:cubicBezTo>
                  <a:pt x="164878" y="51911"/>
                  <a:pt x="161544" y="44767"/>
                  <a:pt x="154591" y="38767"/>
                </a:cubicBezTo>
                <a:cubicBezTo>
                  <a:pt x="147732" y="32671"/>
                  <a:pt x="138398" y="29623"/>
                  <a:pt x="126682" y="29623"/>
                </a:cubicBezTo>
                <a:cubicBezTo>
                  <a:pt x="108871" y="29623"/>
                  <a:pt x="96583" y="34385"/>
                  <a:pt x="89630" y="43910"/>
                </a:cubicBezTo>
                <a:cubicBezTo>
                  <a:pt x="86106" y="48673"/>
                  <a:pt x="84296" y="54007"/>
                  <a:pt x="84296" y="59817"/>
                </a:cubicBezTo>
                <a:cubicBezTo>
                  <a:pt x="84296" y="67627"/>
                  <a:pt x="86963" y="75247"/>
                  <a:pt x="92392" y="82296"/>
                </a:cubicBezTo>
                <a:cubicBezTo>
                  <a:pt x="97821" y="89440"/>
                  <a:pt x="106775" y="98774"/>
                  <a:pt x="119348" y="110395"/>
                </a:cubicBezTo>
                <a:cubicBezTo>
                  <a:pt x="134588" y="101632"/>
                  <a:pt x="144970" y="94679"/>
                  <a:pt x="150686" y="89344"/>
                </a:cubicBezTo>
                <a:moveTo>
                  <a:pt x="154114" y="248983"/>
                </a:moveTo>
                <a:cubicBezTo>
                  <a:pt x="166878" y="242506"/>
                  <a:pt x="176689" y="235172"/>
                  <a:pt x="183546" y="227076"/>
                </a:cubicBezTo>
                <a:lnTo>
                  <a:pt x="103727" y="149257"/>
                </a:lnTo>
                <a:cubicBezTo>
                  <a:pt x="81343" y="161258"/>
                  <a:pt x="66675" y="170497"/>
                  <a:pt x="59817" y="176879"/>
                </a:cubicBezTo>
                <a:cubicBezTo>
                  <a:pt x="49244" y="186499"/>
                  <a:pt x="44101" y="198215"/>
                  <a:pt x="44101" y="212026"/>
                </a:cubicBezTo>
                <a:cubicBezTo>
                  <a:pt x="44101" y="226981"/>
                  <a:pt x="50863" y="238601"/>
                  <a:pt x="64579" y="246697"/>
                </a:cubicBezTo>
                <a:cubicBezTo>
                  <a:pt x="78200" y="254698"/>
                  <a:pt x="92869" y="258699"/>
                  <a:pt x="108395" y="258699"/>
                </a:cubicBezTo>
                <a:cubicBezTo>
                  <a:pt x="126111" y="258699"/>
                  <a:pt x="141351" y="255556"/>
                  <a:pt x="154114" y="248983"/>
                </a:cubicBezTo>
                <a:moveTo>
                  <a:pt x="49816" y="90964"/>
                </a:moveTo>
                <a:cubicBezTo>
                  <a:pt x="44767" y="81534"/>
                  <a:pt x="42196" y="72390"/>
                  <a:pt x="42196" y="63722"/>
                </a:cubicBezTo>
                <a:cubicBezTo>
                  <a:pt x="42196" y="45529"/>
                  <a:pt x="49911" y="30289"/>
                  <a:pt x="65246" y="18193"/>
                </a:cubicBezTo>
                <a:cubicBezTo>
                  <a:pt x="80581" y="6001"/>
                  <a:pt x="101251" y="0"/>
                  <a:pt x="127063" y="0"/>
                </a:cubicBezTo>
                <a:cubicBezTo>
                  <a:pt x="151543" y="0"/>
                  <a:pt x="170688" y="5620"/>
                  <a:pt x="184499" y="16859"/>
                </a:cubicBezTo>
                <a:cubicBezTo>
                  <a:pt x="198311" y="28099"/>
                  <a:pt x="205264" y="41624"/>
                  <a:pt x="205264" y="57150"/>
                </a:cubicBezTo>
                <a:cubicBezTo>
                  <a:pt x="205264" y="75343"/>
                  <a:pt x="198120" y="91154"/>
                  <a:pt x="183832" y="104965"/>
                </a:cubicBezTo>
                <a:cubicBezTo>
                  <a:pt x="175450" y="112871"/>
                  <a:pt x="161639" y="122015"/>
                  <a:pt x="142018" y="132588"/>
                </a:cubicBezTo>
                <a:lnTo>
                  <a:pt x="206407" y="194024"/>
                </a:lnTo>
                <a:cubicBezTo>
                  <a:pt x="210407" y="183737"/>
                  <a:pt x="213074" y="176022"/>
                  <a:pt x="214693" y="170974"/>
                </a:cubicBezTo>
                <a:cubicBezTo>
                  <a:pt x="216312" y="165830"/>
                  <a:pt x="217837" y="158782"/>
                  <a:pt x="219456" y="149542"/>
                </a:cubicBezTo>
                <a:lnTo>
                  <a:pt x="261651" y="149542"/>
                </a:lnTo>
                <a:cubicBezTo>
                  <a:pt x="258985" y="167735"/>
                  <a:pt x="253555" y="185071"/>
                  <a:pt x="245269" y="201739"/>
                </a:cubicBezTo>
                <a:cubicBezTo>
                  <a:pt x="237077" y="218313"/>
                  <a:pt x="233076" y="224980"/>
                  <a:pt x="233076" y="221837"/>
                </a:cubicBezTo>
                <a:lnTo>
                  <a:pt x="294894" y="281940"/>
                </a:lnTo>
                <a:lnTo>
                  <a:pt x="240030" y="281940"/>
                </a:lnTo>
                <a:lnTo>
                  <a:pt x="206883" y="250412"/>
                </a:lnTo>
                <a:cubicBezTo>
                  <a:pt x="193738" y="261652"/>
                  <a:pt x="181737" y="269843"/>
                  <a:pt x="170783" y="274987"/>
                </a:cubicBezTo>
                <a:cubicBezTo>
                  <a:pt x="151733" y="284131"/>
                  <a:pt x="129826" y="288607"/>
                  <a:pt x="104965" y="288607"/>
                </a:cubicBezTo>
                <a:cubicBezTo>
                  <a:pt x="68199" y="288607"/>
                  <a:pt x="41624" y="280702"/>
                  <a:pt x="24860" y="264890"/>
                </a:cubicBezTo>
                <a:cubicBezTo>
                  <a:pt x="8287" y="249079"/>
                  <a:pt x="0" y="231362"/>
                  <a:pt x="0" y="211741"/>
                </a:cubicBezTo>
                <a:cubicBezTo>
                  <a:pt x="0" y="190309"/>
                  <a:pt x="8001" y="172593"/>
                  <a:pt x="24289" y="158401"/>
                </a:cubicBezTo>
                <a:cubicBezTo>
                  <a:pt x="34194" y="149828"/>
                  <a:pt x="52673" y="138874"/>
                  <a:pt x="79724" y="125825"/>
                </a:cubicBezTo>
                <a:cubicBezTo>
                  <a:pt x="64865" y="112014"/>
                  <a:pt x="54864" y="100393"/>
                  <a:pt x="49816" y="90964"/>
                </a:cubicBezTo>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1" name="Forma Livre: Forma 20">
            <a:extLst>
              <a:ext uri="{FF2B5EF4-FFF2-40B4-BE49-F238E27FC236}">
                <a16:creationId xmlns:a16="http://schemas.microsoft.com/office/drawing/2014/main" id="{20765DB0-AF33-BC58-42DB-41665E4DD0EF}"/>
              </a:ext>
            </a:extLst>
          </xdr:cNvPr>
          <xdr:cNvSpPr/>
        </xdr:nvSpPr>
        <xdr:spPr>
          <a:xfrm>
            <a:off x="11003964" y="11505511"/>
            <a:ext cx="338422" cy="282797"/>
          </a:xfrm>
          <a:custGeom>
            <a:avLst/>
            <a:gdLst>
              <a:gd name="connsiteX0" fmla="*/ 95 w 338422"/>
              <a:gd name="connsiteY0" fmla="*/ 0 h 282797"/>
              <a:gd name="connsiteX1" fmla="*/ 68008 w 338422"/>
              <a:gd name="connsiteY1" fmla="*/ 0 h 282797"/>
              <a:gd name="connsiteX2" fmla="*/ 169354 w 338422"/>
              <a:gd name="connsiteY2" fmla="*/ 239078 h 282797"/>
              <a:gd name="connsiteX3" fmla="*/ 270891 w 338422"/>
              <a:gd name="connsiteY3" fmla="*/ 0 h 282797"/>
              <a:gd name="connsiteX4" fmla="*/ 338423 w 338422"/>
              <a:gd name="connsiteY4" fmla="*/ 0 h 282797"/>
              <a:gd name="connsiteX5" fmla="*/ 338423 w 338422"/>
              <a:gd name="connsiteY5" fmla="*/ 282797 h 282797"/>
              <a:gd name="connsiteX6" fmla="*/ 293370 w 338422"/>
              <a:gd name="connsiteY6" fmla="*/ 282797 h 282797"/>
              <a:gd name="connsiteX7" fmla="*/ 293370 w 338422"/>
              <a:gd name="connsiteY7" fmla="*/ 115729 h 282797"/>
              <a:gd name="connsiteX8" fmla="*/ 294418 w 338422"/>
              <a:gd name="connsiteY8" fmla="*/ 87058 h 282797"/>
              <a:gd name="connsiteX9" fmla="*/ 295275 w 338422"/>
              <a:gd name="connsiteY9" fmla="*/ 44101 h 282797"/>
              <a:gd name="connsiteX10" fmla="*/ 192786 w 338422"/>
              <a:gd name="connsiteY10" fmla="*/ 282797 h 282797"/>
              <a:gd name="connsiteX11" fmla="*/ 145256 w 338422"/>
              <a:gd name="connsiteY11" fmla="*/ 282797 h 282797"/>
              <a:gd name="connsiteX12" fmla="*/ 43148 w 338422"/>
              <a:gd name="connsiteY12" fmla="*/ 44101 h 282797"/>
              <a:gd name="connsiteX13" fmla="*/ 43148 w 338422"/>
              <a:gd name="connsiteY13" fmla="*/ 52864 h 282797"/>
              <a:gd name="connsiteX14" fmla="*/ 44101 w 338422"/>
              <a:gd name="connsiteY14" fmla="*/ 84582 h 282797"/>
              <a:gd name="connsiteX15" fmla="*/ 45053 w 338422"/>
              <a:gd name="connsiteY15" fmla="*/ 115729 h 282797"/>
              <a:gd name="connsiteX16" fmla="*/ 45053 w 338422"/>
              <a:gd name="connsiteY16" fmla="*/ 282797 h 282797"/>
              <a:gd name="connsiteX17" fmla="*/ 0 w 338422"/>
              <a:gd name="connsiteY17" fmla="*/ 282797 h 282797"/>
              <a:gd name="connsiteX18" fmla="*/ 0 w 338422"/>
              <a:gd name="connsiteY18"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338422" h="282797">
                <a:moveTo>
                  <a:pt x="95" y="0"/>
                </a:moveTo>
                <a:lnTo>
                  <a:pt x="68008" y="0"/>
                </a:lnTo>
                <a:lnTo>
                  <a:pt x="169354" y="239078"/>
                </a:lnTo>
                <a:lnTo>
                  <a:pt x="270891" y="0"/>
                </a:lnTo>
                <a:lnTo>
                  <a:pt x="338423" y="0"/>
                </a:lnTo>
                <a:lnTo>
                  <a:pt x="338423" y="282797"/>
                </a:lnTo>
                <a:lnTo>
                  <a:pt x="293370" y="282797"/>
                </a:lnTo>
                <a:lnTo>
                  <a:pt x="293370" y="115729"/>
                </a:lnTo>
                <a:cubicBezTo>
                  <a:pt x="293370" y="110014"/>
                  <a:pt x="293751" y="100394"/>
                  <a:pt x="294418" y="87058"/>
                </a:cubicBezTo>
                <a:cubicBezTo>
                  <a:pt x="294989" y="73723"/>
                  <a:pt x="295275" y="59341"/>
                  <a:pt x="295275" y="44101"/>
                </a:cubicBezTo>
                <a:lnTo>
                  <a:pt x="192786" y="282797"/>
                </a:lnTo>
                <a:lnTo>
                  <a:pt x="145256" y="282797"/>
                </a:lnTo>
                <a:lnTo>
                  <a:pt x="43148" y="44101"/>
                </a:lnTo>
                <a:lnTo>
                  <a:pt x="43148" y="52864"/>
                </a:lnTo>
                <a:cubicBezTo>
                  <a:pt x="43148" y="59722"/>
                  <a:pt x="43529" y="70295"/>
                  <a:pt x="44101" y="84582"/>
                </a:cubicBezTo>
                <a:cubicBezTo>
                  <a:pt x="44767" y="98774"/>
                  <a:pt x="45053" y="109156"/>
                  <a:pt x="45053" y="115729"/>
                </a:cubicBezTo>
                <a:lnTo>
                  <a:pt x="45053" y="282797"/>
                </a:lnTo>
                <a:lnTo>
                  <a:pt x="0" y="282797"/>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2" name="Forma Livre: Forma 21">
            <a:extLst>
              <a:ext uri="{FF2B5EF4-FFF2-40B4-BE49-F238E27FC236}">
                <a16:creationId xmlns:a16="http://schemas.microsoft.com/office/drawing/2014/main" id="{F8D4DEF3-3513-29A5-0A3C-64F0A322124A}"/>
              </a:ext>
            </a:extLst>
          </xdr:cNvPr>
          <xdr:cNvSpPr/>
        </xdr:nvSpPr>
        <xdr:spPr>
          <a:xfrm>
            <a:off x="11369914" y="11578377"/>
            <a:ext cx="234314" cy="209931"/>
          </a:xfrm>
          <a:custGeom>
            <a:avLst/>
            <a:gdLst>
              <a:gd name="connsiteX0" fmla="*/ 157829 w 234314"/>
              <a:gd name="connsiteY0" fmla="*/ 123635 h 209931"/>
              <a:gd name="connsiteX1" fmla="*/ 117443 w 234314"/>
              <a:gd name="connsiteY1" fmla="*/ 31052 h 209931"/>
              <a:gd name="connsiteX2" fmla="*/ 75533 w 234314"/>
              <a:gd name="connsiteY2" fmla="*/ 123635 h 209931"/>
              <a:gd name="connsiteX3" fmla="*/ 157829 w 234314"/>
              <a:gd name="connsiteY3" fmla="*/ 123635 h 209931"/>
              <a:gd name="connsiteX4" fmla="*/ 98965 w 234314"/>
              <a:gd name="connsiteY4" fmla="*/ 0 h 209931"/>
              <a:gd name="connsiteX5" fmla="*/ 139065 w 234314"/>
              <a:gd name="connsiteY5" fmla="*/ 0 h 209931"/>
              <a:gd name="connsiteX6" fmla="*/ 234315 w 234314"/>
              <a:gd name="connsiteY6" fmla="*/ 209931 h 209931"/>
              <a:gd name="connsiteX7" fmla="*/ 195358 w 234314"/>
              <a:gd name="connsiteY7" fmla="*/ 209931 h 209931"/>
              <a:gd name="connsiteX8" fmla="*/ 167830 w 234314"/>
              <a:gd name="connsiteY8" fmla="*/ 146685 h 209931"/>
              <a:gd name="connsiteX9" fmla="*/ 65056 w 234314"/>
              <a:gd name="connsiteY9" fmla="*/ 146685 h 209931"/>
              <a:gd name="connsiteX10" fmla="*/ 36481 w 234314"/>
              <a:gd name="connsiteY10" fmla="*/ 209931 h 209931"/>
              <a:gd name="connsiteX11" fmla="*/ 0 w 234314"/>
              <a:gd name="connsiteY11" fmla="*/ 209931 h 209931"/>
              <a:gd name="connsiteX12" fmla="*/ 98965 w 234314"/>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4" h="209931">
                <a:moveTo>
                  <a:pt x="157829" y="123635"/>
                </a:moveTo>
                <a:lnTo>
                  <a:pt x="117443" y="31052"/>
                </a:lnTo>
                <a:lnTo>
                  <a:pt x="75533" y="123635"/>
                </a:lnTo>
                <a:lnTo>
                  <a:pt x="157829" y="123635"/>
                </a:lnTo>
                <a:close/>
                <a:moveTo>
                  <a:pt x="98965" y="0"/>
                </a:moveTo>
                <a:lnTo>
                  <a:pt x="139065" y="0"/>
                </a:lnTo>
                <a:lnTo>
                  <a:pt x="234315" y="209931"/>
                </a:lnTo>
                <a:lnTo>
                  <a:pt x="195358" y="209931"/>
                </a:lnTo>
                <a:lnTo>
                  <a:pt x="167830"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3" name="Forma Livre: Forma 22">
            <a:extLst>
              <a:ext uri="{FF2B5EF4-FFF2-40B4-BE49-F238E27FC236}">
                <a16:creationId xmlns:a16="http://schemas.microsoft.com/office/drawing/2014/main" id="{E56C93C0-FD66-78C7-27F1-169555F6C873}"/>
              </a:ext>
            </a:extLst>
          </xdr:cNvPr>
          <xdr:cNvSpPr/>
        </xdr:nvSpPr>
        <xdr:spPr>
          <a:xfrm>
            <a:off x="11635090" y="11578377"/>
            <a:ext cx="213836" cy="209835"/>
          </a:xfrm>
          <a:custGeom>
            <a:avLst/>
            <a:gdLst>
              <a:gd name="connsiteX0" fmla="*/ 115253 w 213836"/>
              <a:gd name="connsiteY0" fmla="*/ 96298 h 209835"/>
              <a:gd name="connsiteX1" fmla="*/ 153448 w 213836"/>
              <a:gd name="connsiteY1" fmla="*/ 88297 h 209835"/>
              <a:gd name="connsiteX2" fmla="*/ 167450 w 213836"/>
              <a:gd name="connsiteY2" fmla="*/ 59627 h 209835"/>
              <a:gd name="connsiteX3" fmla="*/ 147828 w 213836"/>
              <a:gd name="connsiteY3" fmla="*/ 29146 h 209835"/>
              <a:gd name="connsiteX4" fmla="*/ 119825 w 213836"/>
              <a:gd name="connsiteY4" fmla="*/ 24860 h 209835"/>
              <a:gd name="connsiteX5" fmla="*/ 36005 w 213836"/>
              <a:gd name="connsiteY5" fmla="*/ 24860 h 209835"/>
              <a:gd name="connsiteX6" fmla="*/ 36005 w 213836"/>
              <a:gd name="connsiteY6" fmla="*/ 96298 h 209835"/>
              <a:gd name="connsiteX7" fmla="*/ 115253 w 213836"/>
              <a:gd name="connsiteY7" fmla="*/ 96298 h 209835"/>
              <a:gd name="connsiteX8" fmla="*/ 95 w 213836"/>
              <a:gd name="connsiteY8" fmla="*/ 0 h 209835"/>
              <a:gd name="connsiteX9" fmla="*/ 119158 w 213836"/>
              <a:gd name="connsiteY9" fmla="*/ 0 h 209835"/>
              <a:gd name="connsiteX10" fmla="*/ 167640 w 213836"/>
              <a:gd name="connsiteY10" fmla="*/ 6953 h 209835"/>
              <a:gd name="connsiteX11" fmla="*/ 203835 w 213836"/>
              <a:gd name="connsiteY11" fmla="*/ 56674 h 209835"/>
              <a:gd name="connsiteX12" fmla="*/ 194025 w 213836"/>
              <a:gd name="connsiteY12" fmla="*/ 87439 h 209835"/>
              <a:gd name="connsiteX13" fmla="*/ 166593 w 213836"/>
              <a:gd name="connsiteY13" fmla="*/ 106775 h 209835"/>
              <a:gd name="connsiteX14" fmla="*/ 189738 w 213836"/>
              <a:gd name="connsiteY14" fmla="*/ 119920 h 209835"/>
              <a:gd name="connsiteX15" fmla="*/ 198501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50 w 213836"/>
              <a:gd name="connsiteY22" fmla="*/ 186404 h 209835"/>
              <a:gd name="connsiteX23" fmla="*/ 163545 w 213836"/>
              <a:gd name="connsiteY23" fmla="*/ 151257 h 209835"/>
              <a:gd name="connsiteX24" fmla="*/ 145066 w 213836"/>
              <a:gd name="connsiteY24" fmla="*/ 123635 h 209835"/>
              <a:gd name="connsiteX25" fmla="*/ 114110 w 213836"/>
              <a:gd name="connsiteY25" fmla="*/ 119729 h 209835"/>
              <a:gd name="connsiteX26" fmla="*/ 35909 w 213836"/>
              <a:gd name="connsiteY26" fmla="*/ 119729 h 209835"/>
              <a:gd name="connsiteX27" fmla="*/ 35909 w 213836"/>
              <a:gd name="connsiteY27" fmla="*/ 209836 h 209835"/>
              <a:gd name="connsiteX28" fmla="*/ 0 w 213836"/>
              <a:gd name="connsiteY28" fmla="*/ 209836 h 209835"/>
              <a:gd name="connsiteX29" fmla="*/ 0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253" y="96298"/>
                </a:moveTo>
                <a:cubicBezTo>
                  <a:pt x="131350" y="96298"/>
                  <a:pt x="144019" y="93631"/>
                  <a:pt x="153448" y="88297"/>
                </a:cubicBezTo>
                <a:cubicBezTo>
                  <a:pt x="162783" y="82963"/>
                  <a:pt x="167450" y="73343"/>
                  <a:pt x="167450" y="59627"/>
                </a:cubicBezTo>
                <a:cubicBezTo>
                  <a:pt x="167450" y="44672"/>
                  <a:pt x="160877" y="34480"/>
                  <a:pt x="147828" y="29146"/>
                </a:cubicBezTo>
                <a:cubicBezTo>
                  <a:pt x="140875" y="26289"/>
                  <a:pt x="131445" y="24860"/>
                  <a:pt x="119825" y="24860"/>
                </a:cubicBezTo>
                <a:lnTo>
                  <a:pt x="36005" y="24860"/>
                </a:lnTo>
                <a:lnTo>
                  <a:pt x="36005" y="96298"/>
                </a:lnTo>
                <a:lnTo>
                  <a:pt x="115253" y="96298"/>
                </a:lnTo>
                <a:close/>
                <a:moveTo>
                  <a:pt x="95" y="0"/>
                </a:moveTo>
                <a:lnTo>
                  <a:pt x="119158" y="0"/>
                </a:lnTo>
                <a:cubicBezTo>
                  <a:pt x="138779" y="0"/>
                  <a:pt x="154972" y="2286"/>
                  <a:pt x="167640" y="6953"/>
                </a:cubicBezTo>
                <a:cubicBezTo>
                  <a:pt x="191834" y="16002"/>
                  <a:pt x="203835" y="32576"/>
                  <a:pt x="203835" y="56674"/>
                </a:cubicBezTo>
                <a:cubicBezTo>
                  <a:pt x="203835" y="69247"/>
                  <a:pt x="200596" y="79438"/>
                  <a:pt x="194025" y="87439"/>
                </a:cubicBezTo>
                <a:cubicBezTo>
                  <a:pt x="187453" y="95440"/>
                  <a:pt x="178308" y="101918"/>
                  <a:pt x="166593" y="106775"/>
                </a:cubicBezTo>
                <a:cubicBezTo>
                  <a:pt x="176879" y="110109"/>
                  <a:pt x="184595" y="114395"/>
                  <a:pt x="189738" y="119920"/>
                </a:cubicBezTo>
                <a:cubicBezTo>
                  <a:pt x="194977" y="125349"/>
                  <a:pt x="197834" y="134112"/>
                  <a:pt x="198501" y="146304"/>
                </a:cubicBezTo>
                <a:lnTo>
                  <a:pt x="199930" y="174403"/>
                </a:lnTo>
                <a:cubicBezTo>
                  <a:pt x="200311" y="182404"/>
                  <a:pt x="201073" y="188404"/>
                  <a:pt x="202406" y="192214"/>
                </a:cubicBezTo>
                <a:cubicBezTo>
                  <a:pt x="204597" y="198882"/>
                  <a:pt x="208407" y="203168"/>
                  <a:pt x="213836" y="204978"/>
                </a:cubicBezTo>
                <a:lnTo>
                  <a:pt x="213836" y="209836"/>
                </a:lnTo>
                <a:lnTo>
                  <a:pt x="169831" y="209836"/>
                </a:lnTo>
                <a:cubicBezTo>
                  <a:pt x="168688" y="208026"/>
                  <a:pt x="167736" y="205740"/>
                  <a:pt x="167069" y="202787"/>
                </a:cubicBezTo>
                <a:cubicBezTo>
                  <a:pt x="166497" y="199930"/>
                  <a:pt x="165831" y="194405"/>
                  <a:pt x="165450" y="186404"/>
                </a:cubicBezTo>
                <a:lnTo>
                  <a:pt x="163545" y="151257"/>
                </a:lnTo>
                <a:cubicBezTo>
                  <a:pt x="162687" y="137446"/>
                  <a:pt x="156591" y="128302"/>
                  <a:pt x="145066" y="123635"/>
                </a:cubicBezTo>
                <a:cubicBezTo>
                  <a:pt x="138494" y="120968"/>
                  <a:pt x="128207" y="119729"/>
                  <a:pt x="114110" y="119729"/>
                </a:cubicBezTo>
                <a:lnTo>
                  <a:pt x="35909" y="119729"/>
                </a:lnTo>
                <a:lnTo>
                  <a:pt x="35909" y="209836"/>
                </a:lnTo>
                <a:lnTo>
                  <a:pt x="0" y="209836"/>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4" name="Forma Livre: Forma 23">
            <a:extLst>
              <a:ext uri="{FF2B5EF4-FFF2-40B4-BE49-F238E27FC236}">
                <a16:creationId xmlns:a16="http://schemas.microsoft.com/office/drawing/2014/main" id="{B5464F66-BD99-C8F8-6B33-2BD342FDED5A}"/>
              </a:ext>
            </a:extLst>
          </xdr:cNvPr>
          <xdr:cNvSpPr/>
        </xdr:nvSpPr>
        <xdr:spPr>
          <a:xfrm>
            <a:off x="11870161" y="11573614"/>
            <a:ext cx="203841" cy="220789"/>
          </a:xfrm>
          <a:custGeom>
            <a:avLst/>
            <a:gdLst>
              <a:gd name="connsiteX0" fmla="*/ 33725 w 203841"/>
              <a:gd name="connsiteY0" fmla="*/ 146971 h 220789"/>
              <a:gd name="connsiteX1" fmla="*/ 43822 w 203841"/>
              <a:gd name="connsiteY1" fmla="*/ 176022 h 220789"/>
              <a:gd name="connsiteX2" fmla="*/ 103638 w 203841"/>
              <a:gd name="connsiteY2" fmla="*/ 196977 h 220789"/>
              <a:gd name="connsiteX3" fmla="*/ 138691 w 203841"/>
              <a:gd name="connsiteY3" fmla="*/ 192310 h 220789"/>
              <a:gd name="connsiteX4" fmla="*/ 169266 w 203841"/>
              <a:gd name="connsiteY4" fmla="*/ 160782 h 220789"/>
              <a:gd name="connsiteX5" fmla="*/ 156216 w 203841"/>
              <a:gd name="connsiteY5" fmla="*/ 136303 h 220789"/>
              <a:gd name="connsiteX6" fmla="*/ 115068 w 203841"/>
              <a:gd name="connsiteY6" fmla="*/ 123920 h 220789"/>
              <a:gd name="connsiteX7" fmla="*/ 80493 w 203841"/>
              <a:gd name="connsiteY7" fmla="*/ 117538 h 220789"/>
              <a:gd name="connsiteX8" fmla="*/ 32868 w 203841"/>
              <a:gd name="connsiteY8" fmla="*/ 103727 h 220789"/>
              <a:gd name="connsiteX9" fmla="*/ 8674 w 203841"/>
              <a:gd name="connsiteY9" fmla="*/ 64484 h 220789"/>
              <a:gd name="connsiteX10" fmla="*/ 32487 w 203841"/>
              <a:gd name="connsiteY10" fmla="*/ 18097 h 220789"/>
              <a:gd name="connsiteX11" fmla="*/ 99924 w 203841"/>
              <a:gd name="connsiteY11" fmla="*/ 0 h 220789"/>
              <a:gd name="connsiteX12" fmla="*/ 168123 w 203841"/>
              <a:gd name="connsiteY12" fmla="*/ 15907 h 220789"/>
              <a:gd name="connsiteX13" fmla="*/ 196126 w 203841"/>
              <a:gd name="connsiteY13" fmla="*/ 66675 h 220789"/>
              <a:gd name="connsiteX14" fmla="*/ 162503 w 203841"/>
              <a:gd name="connsiteY14" fmla="*/ 66675 h 220789"/>
              <a:gd name="connsiteX15" fmla="*/ 151549 w 203841"/>
              <a:gd name="connsiteY15" fmla="*/ 40862 h 220789"/>
              <a:gd name="connsiteX16" fmla="*/ 98781 w 203841"/>
              <a:gd name="connsiteY16" fmla="*/ 24479 h 220789"/>
              <a:gd name="connsiteX17" fmla="*/ 55442 w 203841"/>
              <a:gd name="connsiteY17" fmla="*/ 35052 h 220789"/>
              <a:gd name="connsiteX18" fmla="*/ 42298 w 203841"/>
              <a:gd name="connsiteY18" fmla="*/ 59627 h 220789"/>
              <a:gd name="connsiteX19" fmla="*/ 57823 w 203841"/>
              <a:gd name="connsiteY19" fmla="*/ 82105 h 220789"/>
              <a:gd name="connsiteX20" fmla="*/ 104020 w 203841"/>
              <a:gd name="connsiteY20" fmla="*/ 93536 h 220789"/>
              <a:gd name="connsiteX21" fmla="*/ 139643 w 203841"/>
              <a:gd name="connsiteY21" fmla="*/ 100013 h 220789"/>
              <a:gd name="connsiteX22" fmla="*/ 179553 w 203841"/>
              <a:gd name="connsiteY22" fmla="*/ 113538 h 220789"/>
              <a:gd name="connsiteX23" fmla="*/ 203841 w 203841"/>
              <a:gd name="connsiteY23" fmla="*/ 156020 h 220789"/>
              <a:gd name="connsiteX24" fmla="*/ 172981 w 203841"/>
              <a:gd name="connsiteY24" fmla="*/ 205835 h 220789"/>
              <a:gd name="connsiteX25" fmla="*/ 101162 w 203841"/>
              <a:gd name="connsiteY25" fmla="*/ 220789 h 220789"/>
              <a:gd name="connsiteX26" fmla="*/ 26486 w 203841"/>
              <a:gd name="connsiteY26" fmla="*/ 200787 h 220789"/>
              <a:gd name="connsiteX27" fmla="*/ 7 w 203841"/>
              <a:gd name="connsiteY27" fmla="*/ 146971 h 220789"/>
              <a:gd name="connsiteX28" fmla="*/ 33725 w 203841"/>
              <a:gd name="connsiteY28" fmla="*/ 146971 h 2207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203841" h="220789">
                <a:moveTo>
                  <a:pt x="33725" y="146971"/>
                </a:moveTo>
                <a:cubicBezTo>
                  <a:pt x="34392" y="158972"/>
                  <a:pt x="37916" y="168593"/>
                  <a:pt x="43822" y="176022"/>
                </a:cubicBezTo>
                <a:cubicBezTo>
                  <a:pt x="55156" y="189929"/>
                  <a:pt x="75159" y="196977"/>
                  <a:pt x="103638" y="196977"/>
                </a:cubicBezTo>
                <a:cubicBezTo>
                  <a:pt x="116497" y="196977"/>
                  <a:pt x="128118" y="195453"/>
                  <a:pt x="138691" y="192310"/>
                </a:cubicBezTo>
                <a:cubicBezTo>
                  <a:pt x="159074" y="186595"/>
                  <a:pt x="169266" y="176022"/>
                  <a:pt x="169266" y="160782"/>
                </a:cubicBezTo>
                <a:cubicBezTo>
                  <a:pt x="169266" y="149352"/>
                  <a:pt x="164885" y="141161"/>
                  <a:pt x="156216" y="136303"/>
                </a:cubicBezTo>
                <a:cubicBezTo>
                  <a:pt x="147454" y="131540"/>
                  <a:pt x="133833" y="127445"/>
                  <a:pt x="115068" y="123920"/>
                </a:cubicBezTo>
                <a:lnTo>
                  <a:pt x="80493" y="117538"/>
                </a:lnTo>
                <a:cubicBezTo>
                  <a:pt x="58014" y="113347"/>
                  <a:pt x="42107" y="108776"/>
                  <a:pt x="32868" y="103727"/>
                </a:cubicBezTo>
                <a:cubicBezTo>
                  <a:pt x="16676" y="94964"/>
                  <a:pt x="8674" y="81820"/>
                  <a:pt x="8674" y="64484"/>
                </a:cubicBezTo>
                <a:cubicBezTo>
                  <a:pt x="8674" y="45625"/>
                  <a:pt x="16676" y="30194"/>
                  <a:pt x="32487" y="18097"/>
                </a:cubicBezTo>
                <a:cubicBezTo>
                  <a:pt x="48298" y="6001"/>
                  <a:pt x="70777" y="0"/>
                  <a:pt x="99924" y="0"/>
                </a:cubicBezTo>
                <a:cubicBezTo>
                  <a:pt x="126594" y="0"/>
                  <a:pt x="149454" y="5334"/>
                  <a:pt x="168123" y="15907"/>
                </a:cubicBezTo>
                <a:cubicBezTo>
                  <a:pt x="186792" y="26479"/>
                  <a:pt x="196126" y="43339"/>
                  <a:pt x="196126" y="66675"/>
                </a:cubicBezTo>
                <a:lnTo>
                  <a:pt x="162503" y="66675"/>
                </a:lnTo>
                <a:cubicBezTo>
                  <a:pt x="160788" y="55531"/>
                  <a:pt x="157264" y="46958"/>
                  <a:pt x="151549" y="40862"/>
                </a:cubicBezTo>
                <a:cubicBezTo>
                  <a:pt x="141167" y="30004"/>
                  <a:pt x="123546" y="24479"/>
                  <a:pt x="98781" y="24479"/>
                </a:cubicBezTo>
                <a:cubicBezTo>
                  <a:pt x="78588" y="24479"/>
                  <a:pt x="64205" y="28004"/>
                  <a:pt x="55442" y="35052"/>
                </a:cubicBezTo>
                <a:cubicBezTo>
                  <a:pt x="46679" y="42101"/>
                  <a:pt x="42298" y="50292"/>
                  <a:pt x="42298" y="59627"/>
                </a:cubicBezTo>
                <a:cubicBezTo>
                  <a:pt x="42298" y="69818"/>
                  <a:pt x="47441" y="77343"/>
                  <a:pt x="57823" y="82105"/>
                </a:cubicBezTo>
                <a:cubicBezTo>
                  <a:pt x="64681" y="85344"/>
                  <a:pt x="80112" y="89059"/>
                  <a:pt x="104020" y="93536"/>
                </a:cubicBezTo>
                <a:lnTo>
                  <a:pt x="139643" y="100013"/>
                </a:lnTo>
                <a:cubicBezTo>
                  <a:pt x="156883" y="103442"/>
                  <a:pt x="170123" y="107918"/>
                  <a:pt x="179553" y="113538"/>
                </a:cubicBezTo>
                <a:cubicBezTo>
                  <a:pt x="195745" y="123349"/>
                  <a:pt x="203841" y="137446"/>
                  <a:pt x="203841" y="156020"/>
                </a:cubicBezTo>
                <a:cubicBezTo>
                  <a:pt x="203841" y="179261"/>
                  <a:pt x="193554" y="195834"/>
                  <a:pt x="172981" y="205835"/>
                </a:cubicBezTo>
                <a:cubicBezTo>
                  <a:pt x="152311" y="215741"/>
                  <a:pt x="128404" y="220789"/>
                  <a:pt x="101162" y="220789"/>
                </a:cubicBezTo>
                <a:cubicBezTo>
                  <a:pt x="69444" y="220789"/>
                  <a:pt x="44488" y="214122"/>
                  <a:pt x="26486" y="200787"/>
                </a:cubicBezTo>
                <a:cubicBezTo>
                  <a:pt x="8484" y="187547"/>
                  <a:pt x="-279" y="169640"/>
                  <a:pt x="7" y="146971"/>
                </a:cubicBezTo>
                <a:lnTo>
                  <a:pt x="33725" y="14697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5" name="Forma Livre: Forma 24">
            <a:extLst>
              <a:ext uri="{FF2B5EF4-FFF2-40B4-BE49-F238E27FC236}">
                <a16:creationId xmlns:a16="http://schemas.microsoft.com/office/drawing/2014/main" id="{65046CE0-1BF4-41AF-A902-EF78D745EC59}"/>
              </a:ext>
            </a:extLst>
          </xdr:cNvPr>
          <xdr:cNvSpPr/>
        </xdr:nvSpPr>
        <xdr:spPr>
          <a:xfrm>
            <a:off x="12085242" y="11578377"/>
            <a:ext cx="234315" cy="209931"/>
          </a:xfrm>
          <a:custGeom>
            <a:avLst/>
            <a:gdLst>
              <a:gd name="connsiteX0" fmla="*/ 157925 w 234315"/>
              <a:gd name="connsiteY0" fmla="*/ 123635 h 209931"/>
              <a:gd name="connsiteX1" fmla="*/ 117634 w 234315"/>
              <a:gd name="connsiteY1" fmla="*/ 31052 h 209931"/>
              <a:gd name="connsiteX2" fmla="*/ 75629 w 234315"/>
              <a:gd name="connsiteY2" fmla="*/ 123635 h 209931"/>
              <a:gd name="connsiteX3" fmla="*/ 157925 w 234315"/>
              <a:gd name="connsiteY3" fmla="*/ 123635 h 209931"/>
              <a:gd name="connsiteX4" fmla="*/ 99060 w 234315"/>
              <a:gd name="connsiteY4" fmla="*/ 0 h 209931"/>
              <a:gd name="connsiteX5" fmla="*/ 139161 w 234315"/>
              <a:gd name="connsiteY5" fmla="*/ 0 h 209931"/>
              <a:gd name="connsiteX6" fmla="*/ 234315 w 234315"/>
              <a:gd name="connsiteY6" fmla="*/ 209931 h 209931"/>
              <a:gd name="connsiteX7" fmla="*/ 195358 w 234315"/>
              <a:gd name="connsiteY7" fmla="*/ 209931 h 209931"/>
              <a:gd name="connsiteX8" fmla="*/ 167830 w 234315"/>
              <a:gd name="connsiteY8" fmla="*/ 146685 h 209931"/>
              <a:gd name="connsiteX9" fmla="*/ 65151 w 234315"/>
              <a:gd name="connsiteY9" fmla="*/ 146685 h 209931"/>
              <a:gd name="connsiteX10" fmla="*/ 36481 w 234315"/>
              <a:gd name="connsiteY10" fmla="*/ 209931 h 209931"/>
              <a:gd name="connsiteX11" fmla="*/ 0 w 234315"/>
              <a:gd name="connsiteY11" fmla="*/ 209931 h 209931"/>
              <a:gd name="connsiteX12" fmla="*/ 99060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925" y="123635"/>
                </a:moveTo>
                <a:lnTo>
                  <a:pt x="117634" y="31052"/>
                </a:lnTo>
                <a:lnTo>
                  <a:pt x="75629" y="123635"/>
                </a:lnTo>
                <a:lnTo>
                  <a:pt x="157925" y="123635"/>
                </a:lnTo>
                <a:close/>
                <a:moveTo>
                  <a:pt x="99060" y="0"/>
                </a:moveTo>
                <a:lnTo>
                  <a:pt x="139161" y="0"/>
                </a:lnTo>
                <a:lnTo>
                  <a:pt x="234315" y="209931"/>
                </a:lnTo>
                <a:lnTo>
                  <a:pt x="195358" y="209931"/>
                </a:lnTo>
                <a:lnTo>
                  <a:pt x="167830" y="146685"/>
                </a:lnTo>
                <a:lnTo>
                  <a:pt x="65151" y="146685"/>
                </a:lnTo>
                <a:lnTo>
                  <a:pt x="36481" y="209931"/>
                </a:lnTo>
                <a:lnTo>
                  <a:pt x="0" y="209931"/>
                </a:lnTo>
                <a:lnTo>
                  <a:pt x="9906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6" name="Forma Livre: Forma 25">
            <a:extLst>
              <a:ext uri="{FF2B5EF4-FFF2-40B4-BE49-F238E27FC236}">
                <a16:creationId xmlns:a16="http://schemas.microsoft.com/office/drawing/2014/main" id="{267EE59D-81A5-E460-D676-317DA4B952CC}"/>
              </a:ext>
            </a:extLst>
          </xdr:cNvPr>
          <xdr:cNvSpPr/>
        </xdr:nvSpPr>
        <xdr:spPr>
          <a:xfrm>
            <a:off x="12341178" y="11578377"/>
            <a:ext cx="167354" cy="209931"/>
          </a:xfrm>
          <a:custGeom>
            <a:avLst/>
            <a:gdLst>
              <a:gd name="connsiteX0" fmla="*/ 0 w 167354"/>
              <a:gd name="connsiteY0" fmla="*/ 0 h 209931"/>
              <a:gd name="connsiteX1" fmla="*/ 36005 w 167354"/>
              <a:gd name="connsiteY1" fmla="*/ 0 h 209931"/>
              <a:gd name="connsiteX2" fmla="*/ 36005 w 167354"/>
              <a:gd name="connsiteY2" fmla="*/ 184976 h 209931"/>
              <a:gd name="connsiteX3" fmla="*/ 167354 w 167354"/>
              <a:gd name="connsiteY3" fmla="*/ 184976 h 209931"/>
              <a:gd name="connsiteX4" fmla="*/ 167354 w 167354"/>
              <a:gd name="connsiteY4" fmla="*/ 209931 h 209931"/>
              <a:gd name="connsiteX5" fmla="*/ 0 w 167354"/>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354" h="209931">
                <a:moveTo>
                  <a:pt x="0" y="0"/>
                </a:moveTo>
                <a:lnTo>
                  <a:pt x="36005" y="0"/>
                </a:lnTo>
                <a:lnTo>
                  <a:pt x="36005" y="184976"/>
                </a:lnTo>
                <a:lnTo>
                  <a:pt x="167354" y="184976"/>
                </a:lnTo>
                <a:lnTo>
                  <a:pt x="167354"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grpSp>
    <xdr:clientData/>
  </xdr:absoluteAnchor>
</xdr:wsDr>
</file>

<file path=xl/drawings/drawing3.xml><?xml version="1.0" encoding="utf-8"?>
<xdr:wsDr xmlns:xdr="http://schemas.openxmlformats.org/drawingml/2006/spreadsheetDrawing" xmlns:a="http://schemas.openxmlformats.org/drawingml/2006/main">
  <xdr:twoCellAnchor>
    <xdr:from>
      <xdr:col>3</xdr:col>
      <xdr:colOff>551296</xdr:colOff>
      <xdr:row>2</xdr:row>
      <xdr:rowOff>31749</xdr:rowOff>
    </xdr:from>
    <xdr:to>
      <xdr:col>3</xdr:col>
      <xdr:colOff>662520</xdr:colOff>
      <xdr:row>2</xdr:row>
      <xdr:rowOff>81841</xdr:rowOff>
    </xdr:to>
    <xdr:sp macro="" textlink="">
      <xdr:nvSpPr>
        <xdr:cNvPr id="2" name="Triângulo isósceles 2">
          <a:extLst>
            <a:ext uri="{FF2B5EF4-FFF2-40B4-BE49-F238E27FC236}">
              <a16:creationId xmlns:a16="http://schemas.microsoft.com/office/drawing/2014/main" id="{E1DEDC39-42E9-468F-BB7D-14CA4503E8E7}"/>
            </a:ext>
          </a:extLst>
        </xdr:cNvPr>
        <xdr:cNvSpPr/>
      </xdr:nvSpPr>
      <xdr:spPr>
        <a:xfrm flipV="1">
          <a:off x="9873096" y="634999"/>
          <a:ext cx="111224" cy="50092"/>
        </a:xfrm>
        <a:prstGeom prst="triangle">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612519</xdr:colOff>
      <xdr:row>2</xdr:row>
      <xdr:rowOff>21690</xdr:rowOff>
    </xdr:from>
    <xdr:to>
      <xdr:col>6</xdr:col>
      <xdr:colOff>723743</xdr:colOff>
      <xdr:row>2</xdr:row>
      <xdr:rowOff>71782</xdr:rowOff>
    </xdr:to>
    <xdr:sp macro="" textlink="">
      <xdr:nvSpPr>
        <xdr:cNvPr id="2" name="Triângulo isósceles 6">
          <a:extLst>
            <a:ext uri="{FF2B5EF4-FFF2-40B4-BE49-F238E27FC236}">
              <a16:creationId xmlns:a16="http://schemas.microsoft.com/office/drawing/2014/main" id="{2CE742CF-C1E0-4A1C-969F-F99C9A3FE707}"/>
            </a:ext>
          </a:extLst>
        </xdr:cNvPr>
        <xdr:cNvSpPr/>
      </xdr:nvSpPr>
      <xdr:spPr>
        <a:xfrm flipV="1">
          <a:off x="14309469" y="821790"/>
          <a:ext cx="111224" cy="50092"/>
        </a:xfrm>
        <a:prstGeom prst="triangle">
          <a:avLst/>
        </a:prstGeom>
        <a:solidFill>
          <a:srgbClr val="C0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absoluteAnchor>
    <xdr:pos x="1178846" y="96479"/>
    <xdr:ext cx="1516540" cy="129540"/>
    <xdr:grpSp>
      <xdr:nvGrpSpPr>
        <xdr:cNvPr id="2" name="Agrupar 11">
          <a:extLst>
            <a:ext uri="{FF2B5EF4-FFF2-40B4-BE49-F238E27FC236}">
              <a16:creationId xmlns:a16="http://schemas.microsoft.com/office/drawing/2014/main" id="{EF3344B1-11C5-4496-A80C-A132CA3392E7}"/>
            </a:ext>
          </a:extLst>
        </xdr:cNvPr>
        <xdr:cNvGrpSpPr/>
      </xdr:nvGrpSpPr>
      <xdr:grpSpPr>
        <a:xfrm>
          <a:off x="1178846" y="96479"/>
          <a:ext cx="1516540" cy="129540"/>
          <a:chOff x="8887890" y="11505511"/>
          <a:chExt cx="3620642" cy="289559"/>
        </a:xfrm>
        <a:solidFill>
          <a:schemeClr val="bg1"/>
        </a:solidFill>
      </xdr:grpSpPr>
      <xdr:sp macro="" textlink="">
        <xdr:nvSpPr>
          <xdr:cNvPr id="3" name="Forma Livre: Forma 12">
            <a:extLst>
              <a:ext uri="{FF2B5EF4-FFF2-40B4-BE49-F238E27FC236}">
                <a16:creationId xmlns:a16="http://schemas.microsoft.com/office/drawing/2014/main" id="{3BA15F07-17F9-602E-612C-388C8B3E4FC6}"/>
              </a:ext>
            </a:extLst>
          </xdr:cNvPr>
          <xdr:cNvSpPr/>
        </xdr:nvSpPr>
        <xdr:spPr>
          <a:xfrm>
            <a:off x="8887890" y="11505511"/>
            <a:ext cx="316801" cy="282797"/>
          </a:xfrm>
          <a:custGeom>
            <a:avLst/>
            <a:gdLst>
              <a:gd name="connsiteX0" fmla="*/ 213932 w 316801"/>
              <a:gd name="connsiteY0" fmla="*/ 166688 h 282797"/>
              <a:gd name="connsiteX1" fmla="*/ 159639 w 316801"/>
              <a:gd name="connsiteY1" fmla="*/ 41815 h 282797"/>
              <a:gd name="connsiteX2" fmla="*/ 103061 w 316801"/>
              <a:gd name="connsiteY2" fmla="*/ 166688 h 282797"/>
              <a:gd name="connsiteX3" fmla="*/ 213932 w 316801"/>
              <a:gd name="connsiteY3" fmla="*/ 166688 h 282797"/>
              <a:gd name="connsiteX4" fmla="*/ 133445 w 316801"/>
              <a:gd name="connsiteY4" fmla="*/ 0 h 282797"/>
              <a:gd name="connsiteX5" fmla="*/ 188786 w 316801"/>
              <a:gd name="connsiteY5" fmla="*/ 0 h 282797"/>
              <a:gd name="connsiteX6" fmla="*/ 316802 w 316801"/>
              <a:gd name="connsiteY6" fmla="*/ 282797 h 282797"/>
              <a:gd name="connsiteX7" fmla="*/ 264414 w 316801"/>
              <a:gd name="connsiteY7" fmla="*/ 282797 h 282797"/>
              <a:gd name="connsiteX8" fmla="*/ 227266 w 316801"/>
              <a:gd name="connsiteY8" fmla="*/ 197453 h 282797"/>
              <a:gd name="connsiteX9" fmla="*/ 89154 w 316801"/>
              <a:gd name="connsiteY9" fmla="*/ 197453 h 282797"/>
              <a:gd name="connsiteX10" fmla="*/ 50482 w 316801"/>
              <a:gd name="connsiteY10" fmla="*/ 282797 h 282797"/>
              <a:gd name="connsiteX11" fmla="*/ 0 w 316801"/>
              <a:gd name="connsiteY11" fmla="*/ 282797 h 282797"/>
              <a:gd name="connsiteX12" fmla="*/ 133445 w 316801"/>
              <a:gd name="connsiteY12"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16801" h="282797">
                <a:moveTo>
                  <a:pt x="213932" y="166688"/>
                </a:moveTo>
                <a:lnTo>
                  <a:pt x="159639" y="41815"/>
                </a:lnTo>
                <a:lnTo>
                  <a:pt x="103061" y="166688"/>
                </a:lnTo>
                <a:lnTo>
                  <a:pt x="213932" y="166688"/>
                </a:lnTo>
                <a:close/>
                <a:moveTo>
                  <a:pt x="133445" y="0"/>
                </a:moveTo>
                <a:lnTo>
                  <a:pt x="188786" y="0"/>
                </a:lnTo>
                <a:lnTo>
                  <a:pt x="316802" y="282797"/>
                </a:lnTo>
                <a:lnTo>
                  <a:pt x="264414" y="282797"/>
                </a:lnTo>
                <a:lnTo>
                  <a:pt x="227266" y="197453"/>
                </a:lnTo>
                <a:lnTo>
                  <a:pt x="89154" y="197453"/>
                </a:lnTo>
                <a:lnTo>
                  <a:pt x="50482" y="282797"/>
                </a:lnTo>
                <a:lnTo>
                  <a:pt x="0" y="282797"/>
                </a:lnTo>
                <a:lnTo>
                  <a:pt x="13344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4" name="Forma Livre: Forma 13">
            <a:extLst>
              <a:ext uri="{FF2B5EF4-FFF2-40B4-BE49-F238E27FC236}">
                <a16:creationId xmlns:a16="http://schemas.microsoft.com/office/drawing/2014/main" id="{4C46ECB7-6786-623E-371D-CC9C4ED05260}"/>
              </a:ext>
            </a:extLst>
          </xdr:cNvPr>
          <xdr:cNvSpPr/>
        </xdr:nvSpPr>
        <xdr:spPr>
          <a:xfrm>
            <a:off x="9234505" y="11578377"/>
            <a:ext cx="167258" cy="209931"/>
          </a:xfrm>
          <a:custGeom>
            <a:avLst/>
            <a:gdLst>
              <a:gd name="connsiteX0" fmla="*/ 0 w 167258"/>
              <a:gd name="connsiteY0" fmla="*/ 0 h 209931"/>
              <a:gd name="connsiteX1" fmla="*/ 35909 w 167258"/>
              <a:gd name="connsiteY1" fmla="*/ 0 h 209931"/>
              <a:gd name="connsiteX2" fmla="*/ 35909 w 167258"/>
              <a:gd name="connsiteY2" fmla="*/ 184976 h 209931"/>
              <a:gd name="connsiteX3" fmla="*/ 167259 w 167258"/>
              <a:gd name="connsiteY3" fmla="*/ 184976 h 209931"/>
              <a:gd name="connsiteX4" fmla="*/ 167259 w 167258"/>
              <a:gd name="connsiteY4" fmla="*/ 209931 h 209931"/>
              <a:gd name="connsiteX5" fmla="*/ 0 w 167258"/>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258" h="209931">
                <a:moveTo>
                  <a:pt x="0" y="0"/>
                </a:moveTo>
                <a:lnTo>
                  <a:pt x="35909" y="0"/>
                </a:lnTo>
                <a:lnTo>
                  <a:pt x="35909" y="184976"/>
                </a:lnTo>
                <a:lnTo>
                  <a:pt x="167259" y="184976"/>
                </a:lnTo>
                <a:lnTo>
                  <a:pt x="167259"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5" name="Forma Livre: Forma 14">
            <a:extLst>
              <a:ext uri="{FF2B5EF4-FFF2-40B4-BE49-F238E27FC236}">
                <a16:creationId xmlns:a16="http://schemas.microsoft.com/office/drawing/2014/main" id="{77401734-0DBB-16A2-C23E-5D567A055A3C}"/>
              </a:ext>
            </a:extLst>
          </xdr:cNvPr>
          <xdr:cNvSpPr/>
        </xdr:nvSpPr>
        <xdr:spPr>
          <a:xfrm>
            <a:off x="9366140" y="11578377"/>
            <a:ext cx="229171" cy="209931"/>
          </a:xfrm>
          <a:custGeom>
            <a:avLst/>
            <a:gdLst>
              <a:gd name="connsiteX0" fmla="*/ 39338 w 229171"/>
              <a:gd name="connsiteY0" fmla="*/ 0 h 209931"/>
              <a:gd name="connsiteX1" fmla="*/ 114585 w 229171"/>
              <a:gd name="connsiteY1" fmla="*/ 178689 h 209931"/>
              <a:gd name="connsiteX2" fmla="*/ 189357 w 229171"/>
              <a:gd name="connsiteY2" fmla="*/ 0 h 209931"/>
              <a:gd name="connsiteX3" fmla="*/ 229171 w 229171"/>
              <a:gd name="connsiteY3" fmla="*/ 0 h 209931"/>
              <a:gd name="connsiteX4" fmla="*/ 133159 w 229171"/>
              <a:gd name="connsiteY4" fmla="*/ 209931 h 209931"/>
              <a:gd name="connsiteX5" fmla="*/ 95440 w 229171"/>
              <a:gd name="connsiteY5" fmla="*/ 209931 h 209931"/>
              <a:gd name="connsiteX6" fmla="*/ 0 w 229171"/>
              <a:gd name="connsiteY6"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9171" h="209931">
                <a:moveTo>
                  <a:pt x="39338" y="0"/>
                </a:moveTo>
                <a:lnTo>
                  <a:pt x="114585" y="178689"/>
                </a:lnTo>
                <a:lnTo>
                  <a:pt x="189357" y="0"/>
                </a:lnTo>
                <a:lnTo>
                  <a:pt x="229171" y="0"/>
                </a:lnTo>
                <a:lnTo>
                  <a:pt x="133159" y="209931"/>
                </a:lnTo>
                <a:lnTo>
                  <a:pt x="95440" y="209931"/>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6" name="Forma Livre: Forma 15">
            <a:extLst>
              <a:ext uri="{FF2B5EF4-FFF2-40B4-BE49-F238E27FC236}">
                <a16:creationId xmlns:a16="http://schemas.microsoft.com/office/drawing/2014/main" id="{2E6AD52A-4279-5367-B4E4-F2C514674F5D}"/>
              </a:ext>
            </a:extLst>
          </xdr:cNvPr>
          <xdr:cNvSpPr/>
        </xdr:nvSpPr>
        <xdr:spPr>
          <a:xfrm>
            <a:off x="9549115" y="11578377"/>
            <a:ext cx="234315" cy="209931"/>
          </a:xfrm>
          <a:custGeom>
            <a:avLst/>
            <a:gdLst>
              <a:gd name="connsiteX0" fmla="*/ 157639 w 234315"/>
              <a:gd name="connsiteY0" fmla="*/ 123635 h 209931"/>
              <a:gd name="connsiteX1" fmla="*/ 117348 w 234315"/>
              <a:gd name="connsiteY1" fmla="*/ 31052 h 209931"/>
              <a:gd name="connsiteX2" fmla="*/ 75438 w 234315"/>
              <a:gd name="connsiteY2" fmla="*/ 123635 h 209931"/>
              <a:gd name="connsiteX3" fmla="*/ 157639 w 234315"/>
              <a:gd name="connsiteY3" fmla="*/ 123635 h 209931"/>
              <a:gd name="connsiteX4" fmla="*/ 98965 w 234315"/>
              <a:gd name="connsiteY4" fmla="*/ 0 h 209931"/>
              <a:gd name="connsiteX5" fmla="*/ 139065 w 234315"/>
              <a:gd name="connsiteY5" fmla="*/ 0 h 209931"/>
              <a:gd name="connsiteX6" fmla="*/ 234315 w 234315"/>
              <a:gd name="connsiteY6" fmla="*/ 209931 h 209931"/>
              <a:gd name="connsiteX7" fmla="*/ 195358 w 234315"/>
              <a:gd name="connsiteY7" fmla="*/ 209931 h 209931"/>
              <a:gd name="connsiteX8" fmla="*/ 167736 w 234315"/>
              <a:gd name="connsiteY8" fmla="*/ 146685 h 209931"/>
              <a:gd name="connsiteX9" fmla="*/ 65056 w 234315"/>
              <a:gd name="connsiteY9" fmla="*/ 146685 h 209931"/>
              <a:gd name="connsiteX10" fmla="*/ 36481 w 234315"/>
              <a:gd name="connsiteY10" fmla="*/ 209931 h 209931"/>
              <a:gd name="connsiteX11" fmla="*/ 0 w 234315"/>
              <a:gd name="connsiteY11" fmla="*/ 209931 h 209931"/>
              <a:gd name="connsiteX12" fmla="*/ 98965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639" y="123635"/>
                </a:moveTo>
                <a:lnTo>
                  <a:pt x="117348" y="31052"/>
                </a:lnTo>
                <a:lnTo>
                  <a:pt x="75438" y="123635"/>
                </a:lnTo>
                <a:lnTo>
                  <a:pt x="157639" y="123635"/>
                </a:lnTo>
                <a:close/>
                <a:moveTo>
                  <a:pt x="98965" y="0"/>
                </a:moveTo>
                <a:lnTo>
                  <a:pt x="139065" y="0"/>
                </a:lnTo>
                <a:lnTo>
                  <a:pt x="234315" y="209931"/>
                </a:lnTo>
                <a:lnTo>
                  <a:pt x="195358" y="209931"/>
                </a:lnTo>
                <a:lnTo>
                  <a:pt x="167736"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7" name="Forma Livre: Forma 16">
            <a:extLst>
              <a:ext uri="{FF2B5EF4-FFF2-40B4-BE49-F238E27FC236}">
                <a16:creationId xmlns:a16="http://schemas.microsoft.com/office/drawing/2014/main" id="{B5E81D82-D4E0-08C1-5BE2-74433917A232}"/>
              </a:ext>
            </a:extLst>
          </xdr:cNvPr>
          <xdr:cNvSpPr/>
        </xdr:nvSpPr>
        <xdr:spPr>
          <a:xfrm>
            <a:off x="9811815" y="11578377"/>
            <a:ext cx="213836" cy="209835"/>
          </a:xfrm>
          <a:custGeom>
            <a:avLst/>
            <a:gdLst>
              <a:gd name="connsiteX0" fmla="*/ 115158 w 213836"/>
              <a:gd name="connsiteY0" fmla="*/ 96298 h 209835"/>
              <a:gd name="connsiteX1" fmla="*/ 153258 w 213836"/>
              <a:gd name="connsiteY1" fmla="*/ 88297 h 209835"/>
              <a:gd name="connsiteX2" fmla="*/ 167259 w 213836"/>
              <a:gd name="connsiteY2" fmla="*/ 59627 h 209835"/>
              <a:gd name="connsiteX3" fmla="*/ 147638 w 213836"/>
              <a:gd name="connsiteY3" fmla="*/ 29146 h 209835"/>
              <a:gd name="connsiteX4" fmla="*/ 119634 w 213836"/>
              <a:gd name="connsiteY4" fmla="*/ 24860 h 209835"/>
              <a:gd name="connsiteX5" fmla="*/ 35909 w 213836"/>
              <a:gd name="connsiteY5" fmla="*/ 24860 h 209835"/>
              <a:gd name="connsiteX6" fmla="*/ 35909 w 213836"/>
              <a:gd name="connsiteY6" fmla="*/ 96298 h 209835"/>
              <a:gd name="connsiteX7" fmla="*/ 115158 w 213836"/>
              <a:gd name="connsiteY7" fmla="*/ 96298 h 209835"/>
              <a:gd name="connsiteX8" fmla="*/ 0 w 213836"/>
              <a:gd name="connsiteY8" fmla="*/ 0 h 209835"/>
              <a:gd name="connsiteX9" fmla="*/ 119063 w 213836"/>
              <a:gd name="connsiteY9" fmla="*/ 0 h 209835"/>
              <a:gd name="connsiteX10" fmla="*/ 167450 w 213836"/>
              <a:gd name="connsiteY10" fmla="*/ 6953 h 209835"/>
              <a:gd name="connsiteX11" fmla="*/ 203740 w 213836"/>
              <a:gd name="connsiteY11" fmla="*/ 56674 h 209835"/>
              <a:gd name="connsiteX12" fmla="*/ 193929 w 213836"/>
              <a:gd name="connsiteY12" fmla="*/ 87439 h 209835"/>
              <a:gd name="connsiteX13" fmla="*/ 166497 w 213836"/>
              <a:gd name="connsiteY13" fmla="*/ 106775 h 209835"/>
              <a:gd name="connsiteX14" fmla="*/ 189738 w 213836"/>
              <a:gd name="connsiteY14" fmla="*/ 119920 h 209835"/>
              <a:gd name="connsiteX15" fmla="*/ 198406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49 w 213836"/>
              <a:gd name="connsiteY22" fmla="*/ 186404 h 209835"/>
              <a:gd name="connsiteX23" fmla="*/ 163544 w 213836"/>
              <a:gd name="connsiteY23" fmla="*/ 151257 h 209835"/>
              <a:gd name="connsiteX24" fmla="*/ 145066 w 213836"/>
              <a:gd name="connsiteY24" fmla="*/ 123635 h 209835"/>
              <a:gd name="connsiteX25" fmla="*/ 114205 w 213836"/>
              <a:gd name="connsiteY25" fmla="*/ 119729 h 209835"/>
              <a:gd name="connsiteX26" fmla="*/ 36005 w 213836"/>
              <a:gd name="connsiteY26" fmla="*/ 119729 h 209835"/>
              <a:gd name="connsiteX27" fmla="*/ 36005 w 213836"/>
              <a:gd name="connsiteY27" fmla="*/ 209836 h 209835"/>
              <a:gd name="connsiteX28" fmla="*/ 95 w 213836"/>
              <a:gd name="connsiteY28" fmla="*/ 209836 h 209835"/>
              <a:gd name="connsiteX29" fmla="*/ 95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158" y="96298"/>
                </a:moveTo>
                <a:cubicBezTo>
                  <a:pt x="131255" y="96298"/>
                  <a:pt x="143923" y="93631"/>
                  <a:pt x="153258" y="88297"/>
                </a:cubicBezTo>
                <a:cubicBezTo>
                  <a:pt x="162687" y="82963"/>
                  <a:pt x="167259" y="73343"/>
                  <a:pt x="167259" y="59627"/>
                </a:cubicBezTo>
                <a:cubicBezTo>
                  <a:pt x="167259" y="44672"/>
                  <a:pt x="160782" y="34480"/>
                  <a:pt x="147638" y="29146"/>
                </a:cubicBezTo>
                <a:cubicBezTo>
                  <a:pt x="140684" y="26289"/>
                  <a:pt x="131255" y="24860"/>
                  <a:pt x="119634" y="24860"/>
                </a:cubicBezTo>
                <a:lnTo>
                  <a:pt x="35909" y="24860"/>
                </a:lnTo>
                <a:lnTo>
                  <a:pt x="35909" y="96298"/>
                </a:lnTo>
                <a:lnTo>
                  <a:pt x="115158" y="96298"/>
                </a:lnTo>
                <a:close/>
                <a:moveTo>
                  <a:pt x="0" y="0"/>
                </a:moveTo>
                <a:lnTo>
                  <a:pt x="119063" y="0"/>
                </a:lnTo>
                <a:cubicBezTo>
                  <a:pt x="138684" y="0"/>
                  <a:pt x="154781" y="2286"/>
                  <a:pt x="167450" y="6953"/>
                </a:cubicBezTo>
                <a:cubicBezTo>
                  <a:pt x="191643" y="16002"/>
                  <a:pt x="203740" y="32576"/>
                  <a:pt x="203740" y="56674"/>
                </a:cubicBezTo>
                <a:cubicBezTo>
                  <a:pt x="203740" y="69247"/>
                  <a:pt x="200501" y="79438"/>
                  <a:pt x="193929" y="87439"/>
                </a:cubicBezTo>
                <a:cubicBezTo>
                  <a:pt x="187357" y="95440"/>
                  <a:pt x="178213" y="101918"/>
                  <a:pt x="166497" y="106775"/>
                </a:cubicBezTo>
                <a:cubicBezTo>
                  <a:pt x="176879" y="110109"/>
                  <a:pt x="184595" y="114395"/>
                  <a:pt x="189738" y="119920"/>
                </a:cubicBezTo>
                <a:cubicBezTo>
                  <a:pt x="194977" y="125349"/>
                  <a:pt x="197834" y="134112"/>
                  <a:pt x="198406" y="146304"/>
                </a:cubicBezTo>
                <a:lnTo>
                  <a:pt x="199930" y="174403"/>
                </a:lnTo>
                <a:cubicBezTo>
                  <a:pt x="200311" y="182404"/>
                  <a:pt x="201073" y="188404"/>
                  <a:pt x="202406" y="192214"/>
                </a:cubicBezTo>
                <a:cubicBezTo>
                  <a:pt x="204597" y="198882"/>
                  <a:pt x="208312" y="203168"/>
                  <a:pt x="213836" y="204978"/>
                </a:cubicBezTo>
                <a:lnTo>
                  <a:pt x="213836" y="209836"/>
                </a:lnTo>
                <a:lnTo>
                  <a:pt x="169831" y="209836"/>
                </a:lnTo>
                <a:cubicBezTo>
                  <a:pt x="168688" y="208026"/>
                  <a:pt x="167735" y="205740"/>
                  <a:pt x="167069" y="202787"/>
                </a:cubicBezTo>
                <a:cubicBezTo>
                  <a:pt x="166402" y="199930"/>
                  <a:pt x="165831" y="194405"/>
                  <a:pt x="165449" y="186404"/>
                </a:cubicBezTo>
                <a:lnTo>
                  <a:pt x="163544" y="151257"/>
                </a:lnTo>
                <a:cubicBezTo>
                  <a:pt x="162783" y="137446"/>
                  <a:pt x="156591" y="128302"/>
                  <a:pt x="145066" y="123635"/>
                </a:cubicBezTo>
                <a:cubicBezTo>
                  <a:pt x="138494" y="120968"/>
                  <a:pt x="128207" y="119729"/>
                  <a:pt x="114205" y="119729"/>
                </a:cubicBezTo>
                <a:lnTo>
                  <a:pt x="36005" y="119729"/>
                </a:lnTo>
                <a:lnTo>
                  <a:pt x="36005" y="209836"/>
                </a:lnTo>
                <a:lnTo>
                  <a:pt x="95" y="209836"/>
                </a:lnTo>
                <a:lnTo>
                  <a:pt x="9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8" name="Forma Livre: Forma 17">
            <a:extLst>
              <a:ext uri="{FF2B5EF4-FFF2-40B4-BE49-F238E27FC236}">
                <a16:creationId xmlns:a16="http://schemas.microsoft.com/office/drawing/2014/main" id="{0825F942-9A70-C163-6A1B-CE4D5453DCBA}"/>
              </a:ext>
            </a:extLst>
          </xdr:cNvPr>
          <xdr:cNvSpPr/>
        </xdr:nvSpPr>
        <xdr:spPr>
          <a:xfrm>
            <a:off x="10052797" y="11578377"/>
            <a:ext cx="168497" cy="209931"/>
          </a:xfrm>
          <a:custGeom>
            <a:avLst/>
            <a:gdLst>
              <a:gd name="connsiteX0" fmla="*/ 0 w 168497"/>
              <a:gd name="connsiteY0" fmla="*/ 0 h 209931"/>
              <a:gd name="connsiteX1" fmla="*/ 166878 w 168497"/>
              <a:gd name="connsiteY1" fmla="*/ 0 h 209931"/>
              <a:gd name="connsiteX2" fmla="*/ 166878 w 168497"/>
              <a:gd name="connsiteY2" fmla="*/ 25337 h 209931"/>
              <a:gd name="connsiteX3" fmla="*/ 30004 w 168497"/>
              <a:gd name="connsiteY3" fmla="*/ 25337 h 209931"/>
              <a:gd name="connsiteX4" fmla="*/ 30004 w 168497"/>
              <a:gd name="connsiteY4" fmla="*/ 89059 h 209931"/>
              <a:gd name="connsiteX5" fmla="*/ 156496 w 168497"/>
              <a:gd name="connsiteY5" fmla="*/ 89059 h 209931"/>
              <a:gd name="connsiteX6" fmla="*/ 156496 w 168497"/>
              <a:gd name="connsiteY6" fmla="*/ 113919 h 209931"/>
              <a:gd name="connsiteX7" fmla="*/ 30004 w 168497"/>
              <a:gd name="connsiteY7" fmla="*/ 113919 h 209931"/>
              <a:gd name="connsiteX8" fmla="*/ 30004 w 168497"/>
              <a:gd name="connsiteY8" fmla="*/ 184976 h 209931"/>
              <a:gd name="connsiteX9" fmla="*/ 168497 w 168497"/>
              <a:gd name="connsiteY9" fmla="*/ 184976 h 209931"/>
              <a:gd name="connsiteX10" fmla="*/ 168497 w 168497"/>
              <a:gd name="connsiteY10" fmla="*/ 209931 h 209931"/>
              <a:gd name="connsiteX11" fmla="*/ 0 w 168497"/>
              <a:gd name="connsiteY11"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8497" h="209931">
                <a:moveTo>
                  <a:pt x="0" y="0"/>
                </a:moveTo>
                <a:lnTo>
                  <a:pt x="166878" y="0"/>
                </a:lnTo>
                <a:lnTo>
                  <a:pt x="166878" y="25337"/>
                </a:lnTo>
                <a:lnTo>
                  <a:pt x="30004" y="25337"/>
                </a:lnTo>
                <a:lnTo>
                  <a:pt x="30004" y="89059"/>
                </a:lnTo>
                <a:lnTo>
                  <a:pt x="156496" y="89059"/>
                </a:lnTo>
                <a:lnTo>
                  <a:pt x="156496" y="113919"/>
                </a:lnTo>
                <a:lnTo>
                  <a:pt x="30004" y="113919"/>
                </a:lnTo>
                <a:lnTo>
                  <a:pt x="30004" y="184976"/>
                </a:lnTo>
                <a:lnTo>
                  <a:pt x="168497" y="184976"/>
                </a:lnTo>
                <a:lnTo>
                  <a:pt x="168497"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9" name="Forma Livre: Forma 18">
            <a:extLst>
              <a:ext uri="{FF2B5EF4-FFF2-40B4-BE49-F238E27FC236}">
                <a16:creationId xmlns:a16="http://schemas.microsoft.com/office/drawing/2014/main" id="{3426E951-111F-3C95-E604-7D78C8CD69C8}"/>
              </a:ext>
            </a:extLst>
          </xdr:cNvPr>
          <xdr:cNvSpPr/>
        </xdr:nvSpPr>
        <xdr:spPr>
          <a:xfrm>
            <a:off x="10254442" y="11578377"/>
            <a:ext cx="206120" cy="209931"/>
          </a:xfrm>
          <a:custGeom>
            <a:avLst/>
            <a:gdLst>
              <a:gd name="connsiteX0" fmla="*/ 0 w 206120"/>
              <a:gd name="connsiteY0" fmla="*/ 186404 h 209931"/>
              <a:gd name="connsiteX1" fmla="*/ 160972 w 206120"/>
              <a:gd name="connsiteY1" fmla="*/ 24860 h 209931"/>
              <a:gd name="connsiteX2" fmla="*/ 12001 w 206120"/>
              <a:gd name="connsiteY2" fmla="*/ 24860 h 209931"/>
              <a:gd name="connsiteX3" fmla="*/ 12001 w 206120"/>
              <a:gd name="connsiteY3" fmla="*/ 0 h 209931"/>
              <a:gd name="connsiteX4" fmla="*/ 206121 w 206120"/>
              <a:gd name="connsiteY4" fmla="*/ 0 h 209931"/>
              <a:gd name="connsiteX5" fmla="*/ 206121 w 206120"/>
              <a:gd name="connsiteY5" fmla="*/ 24289 h 209931"/>
              <a:gd name="connsiteX6" fmla="*/ 44672 w 206120"/>
              <a:gd name="connsiteY6" fmla="*/ 184976 h 209931"/>
              <a:gd name="connsiteX7" fmla="*/ 206121 w 206120"/>
              <a:gd name="connsiteY7" fmla="*/ 184976 h 209931"/>
              <a:gd name="connsiteX8" fmla="*/ 206121 w 206120"/>
              <a:gd name="connsiteY8" fmla="*/ 209931 h 209931"/>
              <a:gd name="connsiteX9" fmla="*/ 0 w 206120"/>
              <a:gd name="connsiteY9"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06120" h="209931">
                <a:moveTo>
                  <a:pt x="0" y="186404"/>
                </a:moveTo>
                <a:lnTo>
                  <a:pt x="160972" y="24860"/>
                </a:lnTo>
                <a:lnTo>
                  <a:pt x="12001" y="24860"/>
                </a:lnTo>
                <a:lnTo>
                  <a:pt x="12001" y="0"/>
                </a:lnTo>
                <a:lnTo>
                  <a:pt x="206121" y="0"/>
                </a:lnTo>
                <a:lnTo>
                  <a:pt x="206121" y="24289"/>
                </a:lnTo>
                <a:lnTo>
                  <a:pt x="44672" y="184976"/>
                </a:lnTo>
                <a:lnTo>
                  <a:pt x="206121" y="184976"/>
                </a:lnTo>
                <a:lnTo>
                  <a:pt x="206121"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0" name="Forma Livre: Forma 19">
            <a:extLst>
              <a:ext uri="{FF2B5EF4-FFF2-40B4-BE49-F238E27FC236}">
                <a16:creationId xmlns:a16="http://schemas.microsoft.com/office/drawing/2014/main" id="{D8B9FE1F-4F06-A573-EBE5-5D71383288E5}"/>
              </a:ext>
            </a:extLst>
          </xdr:cNvPr>
          <xdr:cNvSpPr/>
        </xdr:nvSpPr>
        <xdr:spPr>
          <a:xfrm>
            <a:off x="10590198" y="11506463"/>
            <a:ext cx="294893" cy="288607"/>
          </a:xfrm>
          <a:custGeom>
            <a:avLst/>
            <a:gdLst>
              <a:gd name="connsiteX0" fmla="*/ 150686 w 294893"/>
              <a:gd name="connsiteY0" fmla="*/ 89344 h 288607"/>
              <a:gd name="connsiteX1" fmla="*/ 164878 w 294893"/>
              <a:gd name="connsiteY1" fmla="*/ 60293 h 288607"/>
              <a:gd name="connsiteX2" fmla="*/ 154591 w 294893"/>
              <a:gd name="connsiteY2" fmla="*/ 38767 h 288607"/>
              <a:gd name="connsiteX3" fmla="*/ 126682 w 294893"/>
              <a:gd name="connsiteY3" fmla="*/ 29623 h 288607"/>
              <a:gd name="connsiteX4" fmla="*/ 89630 w 294893"/>
              <a:gd name="connsiteY4" fmla="*/ 43910 h 288607"/>
              <a:gd name="connsiteX5" fmla="*/ 84296 w 294893"/>
              <a:gd name="connsiteY5" fmla="*/ 59817 h 288607"/>
              <a:gd name="connsiteX6" fmla="*/ 92392 w 294893"/>
              <a:gd name="connsiteY6" fmla="*/ 82296 h 288607"/>
              <a:gd name="connsiteX7" fmla="*/ 119348 w 294893"/>
              <a:gd name="connsiteY7" fmla="*/ 110395 h 288607"/>
              <a:gd name="connsiteX8" fmla="*/ 150686 w 294893"/>
              <a:gd name="connsiteY8" fmla="*/ 89344 h 288607"/>
              <a:gd name="connsiteX9" fmla="*/ 154114 w 294893"/>
              <a:gd name="connsiteY9" fmla="*/ 248983 h 288607"/>
              <a:gd name="connsiteX10" fmla="*/ 183546 w 294893"/>
              <a:gd name="connsiteY10" fmla="*/ 227076 h 288607"/>
              <a:gd name="connsiteX11" fmla="*/ 103727 w 294893"/>
              <a:gd name="connsiteY11" fmla="*/ 149257 h 288607"/>
              <a:gd name="connsiteX12" fmla="*/ 59817 w 294893"/>
              <a:gd name="connsiteY12" fmla="*/ 176879 h 288607"/>
              <a:gd name="connsiteX13" fmla="*/ 44101 w 294893"/>
              <a:gd name="connsiteY13" fmla="*/ 212026 h 288607"/>
              <a:gd name="connsiteX14" fmla="*/ 64579 w 294893"/>
              <a:gd name="connsiteY14" fmla="*/ 246697 h 288607"/>
              <a:gd name="connsiteX15" fmla="*/ 108395 w 294893"/>
              <a:gd name="connsiteY15" fmla="*/ 258699 h 288607"/>
              <a:gd name="connsiteX16" fmla="*/ 154114 w 294893"/>
              <a:gd name="connsiteY16" fmla="*/ 248983 h 288607"/>
              <a:gd name="connsiteX17" fmla="*/ 49816 w 294893"/>
              <a:gd name="connsiteY17" fmla="*/ 90964 h 288607"/>
              <a:gd name="connsiteX18" fmla="*/ 42196 w 294893"/>
              <a:gd name="connsiteY18" fmla="*/ 63722 h 288607"/>
              <a:gd name="connsiteX19" fmla="*/ 65246 w 294893"/>
              <a:gd name="connsiteY19" fmla="*/ 18193 h 288607"/>
              <a:gd name="connsiteX20" fmla="*/ 127063 w 294893"/>
              <a:gd name="connsiteY20" fmla="*/ 0 h 288607"/>
              <a:gd name="connsiteX21" fmla="*/ 184499 w 294893"/>
              <a:gd name="connsiteY21" fmla="*/ 16859 h 288607"/>
              <a:gd name="connsiteX22" fmla="*/ 205264 w 294893"/>
              <a:gd name="connsiteY22" fmla="*/ 57150 h 288607"/>
              <a:gd name="connsiteX23" fmla="*/ 183832 w 294893"/>
              <a:gd name="connsiteY23" fmla="*/ 104965 h 288607"/>
              <a:gd name="connsiteX24" fmla="*/ 142018 w 294893"/>
              <a:gd name="connsiteY24" fmla="*/ 132588 h 288607"/>
              <a:gd name="connsiteX25" fmla="*/ 206407 w 294893"/>
              <a:gd name="connsiteY25" fmla="*/ 194024 h 288607"/>
              <a:gd name="connsiteX26" fmla="*/ 214693 w 294893"/>
              <a:gd name="connsiteY26" fmla="*/ 170974 h 288607"/>
              <a:gd name="connsiteX27" fmla="*/ 219456 w 294893"/>
              <a:gd name="connsiteY27" fmla="*/ 149542 h 288607"/>
              <a:gd name="connsiteX28" fmla="*/ 261651 w 294893"/>
              <a:gd name="connsiteY28" fmla="*/ 149542 h 288607"/>
              <a:gd name="connsiteX29" fmla="*/ 245269 w 294893"/>
              <a:gd name="connsiteY29" fmla="*/ 201739 h 288607"/>
              <a:gd name="connsiteX30" fmla="*/ 233076 w 294893"/>
              <a:gd name="connsiteY30" fmla="*/ 221837 h 288607"/>
              <a:gd name="connsiteX31" fmla="*/ 294894 w 294893"/>
              <a:gd name="connsiteY31" fmla="*/ 281940 h 288607"/>
              <a:gd name="connsiteX32" fmla="*/ 240030 w 294893"/>
              <a:gd name="connsiteY32" fmla="*/ 281940 h 288607"/>
              <a:gd name="connsiteX33" fmla="*/ 206883 w 294893"/>
              <a:gd name="connsiteY33" fmla="*/ 250412 h 288607"/>
              <a:gd name="connsiteX34" fmla="*/ 170783 w 294893"/>
              <a:gd name="connsiteY34" fmla="*/ 274987 h 288607"/>
              <a:gd name="connsiteX35" fmla="*/ 104965 w 294893"/>
              <a:gd name="connsiteY35" fmla="*/ 288607 h 288607"/>
              <a:gd name="connsiteX36" fmla="*/ 24860 w 294893"/>
              <a:gd name="connsiteY36" fmla="*/ 264890 h 288607"/>
              <a:gd name="connsiteX37" fmla="*/ 0 w 294893"/>
              <a:gd name="connsiteY37" fmla="*/ 211741 h 288607"/>
              <a:gd name="connsiteX38" fmla="*/ 24289 w 294893"/>
              <a:gd name="connsiteY38" fmla="*/ 158401 h 288607"/>
              <a:gd name="connsiteX39" fmla="*/ 79724 w 294893"/>
              <a:gd name="connsiteY39" fmla="*/ 125825 h 288607"/>
              <a:gd name="connsiteX40" fmla="*/ 49816 w 294893"/>
              <a:gd name="connsiteY40" fmla="*/ 90964 h 2886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294893" h="288607">
                <a:moveTo>
                  <a:pt x="150686" y="89344"/>
                </a:moveTo>
                <a:cubicBezTo>
                  <a:pt x="160115" y="80486"/>
                  <a:pt x="164878" y="70866"/>
                  <a:pt x="164878" y="60293"/>
                </a:cubicBezTo>
                <a:cubicBezTo>
                  <a:pt x="164878" y="51911"/>
                  <a:pt x="161544" y="44767"/>
                  <a:pt x="154591" y="38767"/>
                </a:cubicBezTo>
                <a:cubicBezTo>
                  <a:pt x="147732" y="32671"/>
                  <a:pt x="138398" y="29623"/>
                  <a:pt x="126682" y="29623"/>
                </a:cubicBezTo>
                <a:cubicBezTo>
                  <a:pt x="108871" y="29623"/>
                  <a:pt x="96583" y="34385"/>
                  <a:pt x="89630" y="43910"/>
                </a:cubicBezTo>
                <a:cubicBezTo>
                  <a:pt x="86106" y="48673"/>
                  <a:pt x="84296" y="54007"/>
                  <a:pt x="84296" y="59817"/>
                </a:cubicBezTo>
                <a:cubicBezTo>
                  <a:pt x="84296" y="67627"/>
                  <a:pt x="86963" y="75247"/>
                  <a:pt x="92392" y="82296"/>
                </a:cubicBezTo>
                <a:cubicBezTo>
                  <a:pt x="97821" y="89440"/>
                  <a:pt x="106775" y="98774"/>
                  <a:pt x="119348" y="110395"/>
                </a:cubicBezTo>
                <a:cubicBezTo>
                  <a:pt x="134588" y="101632"/>
                  <a:pt x="144970" y="94679"/>
                  <a:pt x="150686" y="89344"/>
                </a:cubicBezTo>
                <a:moveTo>
                  <a:pt x="154114" y="248983"/>
                </a:moveTo>
                <a:cubicBezTo>
                  <a:pt x="166878" y="242506"/>
                  <a:pt x="176689" y="235172"/>
                  <a:pt x="183546" y="227076"/>
                </a:cubicBezTo>
                <a:lnTo>
                  <a:pt x="103727" y="149257"/>
                </a:lnTo>
                <a:cubicBezTo>
                  <a:pt x="81343" y="161258"/>
                  <a:pt x="66675" y="170497"/>
                  <a:pt x="59817" y="176879"/>
                </a:cubicBezTo>
                <a:cubicBezTo>
                  <a:pt x="49244" y="186499"/>
                  <a:pt x="44101" y="198215"/>
                  <a:pt x="44101" y="212026"/>
                </a:cubicBezTo>
                <a:cubicBezTo>
                  <a:pt x="44101" y="226981"/>
                  <a:pt x="50863" y="238601"/>
                  <a:pt x="64579" y="246697"/>
                </a:cubicBezTo>
                <a:cubicBezTo>
                  <a:pt x="78200" y="254698"/>
                  <a:pt x="92869" y="258699"/>
                  <a:pt x="108395" y="258699"/>
                </a:cubicBezTo>
                <a:cubicBezTo>
                  <a:pt x="126111" y="258699"/>
                  <a:pt x="141351" y="255556"/>
                  <a:pt x="154114" y="248983"/>
                </a:cubicBezTo>
                <a:moveTo>
                  <a:pt x="49816" y="90964"/>
                </a:moveTo>
                <a:cubicBezTo>
                  <a:pt x="44767" y="81534"/>
                  <a:pt x="42196" y="72390"/>
                  <a:pt x="42196" y="63722"/>
                </a:cubicBezTo>
                <a:cubicBezTo>
                  <a:pt x="42196" y="45529"/>
                  <a:pt x="49911" y="30289"/>
                  <a:pt x="65246" y="18193"/>
                </a:cubicBezTo>
                <a:cubicBezTo>
                  <a:pt x="80581" y="6001"/>
                  <a:pt x="101251" y="0"/>
                  <a:pt x="127063" y="0"/>
                </a:cubicBezTo>
                <a:cubicBezTo>
                  <a:pt x="151543" y="0"/>
                  <a:pt x="170688" y="5620"/>
                  <a:pt x="184499" y="16859"/>
                </a:cubicBezTo>
                <a:cubicBezTo>
                  <a:pt x="198311" y="28099"/>
                  <a:pt x="205264" y="41624"/>
                  <a:pt x="205264" y="57150"/>
                </a:cubicBezTo>
                <a:cubicBezTo>
                  <a:pt x="205264" y="75343"/>
                  <a:pt x="198120" y="91154"/>
                  <a:pt x="183832" y="104965"/>
                </a:cubicBezTo>
                <a:cubicBezTo>
                  <a:pt x="175450" y="112871"/>
                  <a:pt x="161639" y="122015"/>
                  <a:pt x="142018" y="132588"/>
                </a:cubicBezTo>
                <a:lnTo>
                  <a:pt x="206407" y="194024"/>
                </a:lnTo>
                <a:cubicBezTo>
                  <a:pt x="210407" y="183737"/>
                  <a:pt x="213074" y="176022"/>
                  <a:pt x="214693" y="170974"/>
                </a:cubicBezTo>
                <a:cubicBezTo>
                  <a:pt x="216312" y="165830"/>
                  <a:pt x="217837" y="158782"/>
                  <a:pt x="219456" y="149542"/>
                </a:cubicBezTo>
                <a:lnTo>
                  <a:pt x="261651" y="149542"/>
                </a:lnTo>
                <a:cubicBezTo>
                  <a:pt x="258985" y="167735"/>
                  <a:pt x="253555" y="185071"/>
                  <a:pt x="245269" y="201739"/>
                </a:cubicBezTo>
                <a:cubicBezTo>
                  <a:pt x="237077" y="218313"/>
                  <a:pt x="233076" y="224980"/>
                  <a:pt x="233076" y="221837"/>
                </a:cubicBezTo>
                <a:lnTo>
                  <a:pt x="294894" y="281940"/>
                </a:lnTo>
                <a:lnTo>
                  <a:pt x="240030" y="281940"/>
                </a:lnTo>
                <a:lnTo>
                  <a:pt x="206883" y="250412"/>
                </a:lnTo>
                <a:cubicBezTo>
                  <a:pt x="193738" y="261652"/>
                  <a:pt x="181737" y="269843"/>
                  <a:pt x="170783" y="274987"/>
                </a:cubicBezTo>
                <a:cubicBezTo>
                  <a:pt x="151733" y="284131"/>
                  <a:pt x="129826" y="288607"/>
                  <a:pt x="104965" y="288607"/>
                </a:cubicBezTo>
                <a:cubicBezTo>
                  <a:pt x="68199" y="288607"/>
                  <a:pt x="41624" y="280702"/>
                  <a:pt x="24860" y="264890"/>
                </a:cubicBezTo>
                <a:cubicBezTo>
                  <a:pt x="8287" y="249079"/>
                  <a:pt x="0" y="231362"/>
                  <a:pt x="0" y="211741"/>
                </a:cubicBezTo>
                <a:cubicBezTo>
                  <a:pt x="0" y="190309"/>
                  <a:pt x="8001" y="172593"/>
                  <a:pt x="24289" y="158401"/>
                </a:cubicBezTo>
                <a:cubicBezTo>
                  <a:pt x="34194" y="149828"/>
                  <a:pt x="52673" y="138874"/>
                  <a:pt x="79724" y="125825"/>
                </a:cubicBezTo>
                <a:cubicBezTo>
                  <a:pt x="64865" y="112014"/>
                  <a:pt x="54864" y="100393"/>
                  <a:pt x="49816" y="90964"/>
                </a:cubicBezTo>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1" name="Forma Livre: Forma 20">
            <a:extLst>
              <a:ext uri="{FF2B5EF4-FFF2-40B4-BE49-F238E27FC236}">
                <a16:creationId xmlns:a16="http://schemas.microsoft.com/office/drawing/2014/main" id="{D0AD11AC-A0F0-E590-84E2-C8247769D43C}"/>
              </a:ext>
            </a:extLst>
          </xdr:cNvPr>
          <xdr:cNvSpPr/>
        </xdr:nvSpPr>
        <xdr:spPr>
          <a:xfrm>
            <a:off x="11003964" y="11505511"/>
            <a:ext cx="338422" cy="282797"/>
          </a:xfrm>
          <a:custGeom>
            <a:avLst/>
            <a:gdLst>
              <a:gd name="connsiteX0" fmla="*/ 95 w 338422"/>
              <a:gd name="connsiteY0" fmla="*/ 0 h 282797"/>
              <a:gd name="connsiteX1" fmla="*/ 68008 w 338422"/>
              <a:gd name="connsiteY1" fmla="*/ 0 h 282797"/>
              <a:gd name="connsiteX2" fmla="*/ 169354 w 338422"/>
              <a:gd name="connsiteY2" fmla="*/ 239078 h 282797"/>
              <a:gd name="connsiteX3" fmla="*/ 270891 w 338422"/>
              <a:gd name="connsiteY3" fmla="*/ 0 h 282797"/>
              <a:gd name="connsiteX4" fmla="*/ 338423 w 338422"/>
              <a:gd name="connsiteY4" fmla="*/ 0 h 282797"/>
              <a:gd name="connsiteX5" fmla="*/ 338423 w 338422"/>
              <a:gd name="connsiteY5" fmla="*/ 282797 h 282797"/>
              <a:gd name="connsiteX6" fmla="*/ 293370 w 338422"/>
              <a:gd name="connsiteY6" fmla="*/ 282797 h 282797"/>
              <a:gd name="connsiteX7" fmla="*/ 293370 w 338422"/>
              <a:gd name="connsiteY7" fmla="*/ 115729 h 282797"/>
              <a:gd name="connsiteX8" fmla="*/ 294418 w 338422"/>
              <a:gd name="connsiteY8" fmla="*/ 87058 h 282797"/>
              <a:gd name="connsiteX9" fmla="*/ 295275 w 338422"/>
              <a:gd name="connsiteY9" fmla="*/ 44101 h 282797"/>
              <a:gd name="connsiteX10" fmla="*/ 192786 w 338422"/>
              <a:gd name="connsiteY10" fmla="*/ 282797 h 282797"/>
              <a:gd name="connsiteX11" fmla="*/ 145256 w 338422"/>
              <a:gd name="connsiteY11" fmla="*/ 282797 h 282797"/>
              <a:gd name="connsiteX12" fmla="*/ 43148 w 338422"/>
              <a:gd name="connsiteY12" fmla="*/ 44101 h 282797"/>
              <a:gd name="connsiteX13" fmla="*/ 43148 w 338422"/>
              <a:gd name="connsiteY13" fmla="*/ 52864 h 282797"/>
              <a:gd name="connsiteX14" fmla="*/ 44101 w 338422"/>
              <a:gd name="connsiteY14" fmla="*/ 84582 h 282797"/>
              <a:gd name="connsiteX15" fmla="*/ 45053 w 338422"/>
              <a:gd name="connsiteY15" fmla="*/ 115729 h 282797"/>
              <a:gd name="connsiteX16" fmla="*/ 45053 w 338422"/>
              <a:gd name="connsiteY16" fmla="*/ 282797 h 282797"/>
              <a:gd name="connsiteX17" fmla="*/ 0 w 338422"/>
              <a:gd name="connsiteY17" fmla="*/ 282797 h 282797"/>
              <a:gd name="connsiteX18" fmla="*/ 0 w 338422"/>
              <a:gd name="connsiteY18"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338422" h="282797">
                <a:moveTo>
                  <a:pt x="95" y="0"/>
                </a:moveTo>
                <a:lnTo>
                  <a:pt x="68008" y="0"/>
                </a:lnTo>
                <a:lnTo>
                  <a:pt x="169354" y="239078"/>
                </a:lnTo>
                <a:lnTo>
                  <a:pt x="270891" y="0"/>
                </a:lnTo>
                <a:lnTo>
                  <a:pt x="338423" y="0"/>
                </a:lnTo>
                <a:lnTo>
                  <a:pt x="338423" y="282797"/>
                </a:lnTo>
                <a:lnTo>
                  <a:pt x="293370" y="282797"/>
                </a:lnTo>
                <a:lnTo>
                  <a:pt x="293370" y="115729"/>
                </a:lnTo>
                <a:cubicBezTo>
                  <a:pt x="293370" y="110014"/>
                  <a:pt x="293751" y="100394"/>
                  <a:pt x="294418" y="87058"/>
                </a:cubicBezTo>
                <a:cubicBezTo>
                  <a:pt x="294989" y="73723"/>
                  <a:pt x="295275" y="59341"/>
                  <a:pt x="295275" y="44101"/>
                </a:cubicBezTo>
                <a:lnTo>
                  <a:pt x="192786" y="282797"/>
                </a:lnTo>
                <a:lnTo>
                  <a:pt x="145256" y="282797"/>
                </a:lnTo>
                <a:lnTo>
                  <a:pt x="43148" y="44101"/>
                </a:lnTo>
                <a:lnTo>
                  <a:pt x="43148" y="52864"/>
                </a:lnTo>
                <a:cubicBezTo>
                  <a:pt x="43148" y="59722"/>
                  <a:pt x="43529" y="70295"/>
                  <a:pt x="44101" y="84582"/>
                </a:cubicBezTo>
                <a:cubicBezTo>
                  <a:pt x="44767" y="98774"/>
                  <a:pt x="45053" y="109156"/>
                  <a:pt x="45053" y="115729"/>
                </a:cubicBezTo>
                <a:lnTo>
                  <a:pt x="45053" y="282797"/>
                </a:lnTo>
                <a:lnTo>
                  <a:pt x="0" y="282797"/>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2" name="Forma Livre: Forma 21">
            <a:extLst>
              <a:ext uri="{FF2B5EF4-FFF2-40B4-BE49-F238E27FC236}">
                <a16:creationId xmlns:a16="http://schemas.microsoft.com/office/drawing/2014/main" id="{FF2C0398-E1C3-3BD8-C5A3-43ADDA533EF0}"/>
              </a:ext>
            </a:extLst>
          </xdr:cNvPr>
          <xdr:cNvSpPr/>
        </xdr:nvSpPr>
        <xdr:spPr>
          <a:xfrm>
            <a:off x="11369914" y="11578377"/>
            <a:ext cx="234314" cy="209931"/>
          </a:xfrm>
          <a:custGeom>
            <a:avLst/>
            <a:gdLst>
              <a:gd name="connsiteX0" fmla="*/ 157829 w 234314"/>
              <a:gd name="connsiteY0" fmla="*/ 123635 h 209931"/>
              <a:gd name="connsiteX1" fmla="*/ 117443 w 234314"/>
              <a:gd name="connsiteY1" fmla="*/ 31052 h 209931"/>
              <a:gd name="connsiteX2" fmla="*/ 75533 w 234314"/>
              <a:gd name="connsiteY2" fmla="*/ 123635 h 209931"/>
              <a:gd name="connsiteX3" fmla="*/ 157829 w 234314"/>
              <a:gd name="connsiteY3" fmla="*/ 123635 h 209931"/>
              <a:gd name="connsiteX4" fmla="*/ 98965 w 234314"/>
              <a:gd name="connsiteY4" fmla="*/ 0 h 209931"/>
              <a:gd name="connsiteX5" fmla="*/ 139065 w 234314"/>
              <a:gd name="connsiteY5" fmla="*/ 0 h 209931"/>
              <a:gd name="connsiteX6" fmla="*/ 234315 w 234314"/>
              <a:gd name="connsiteY6" fmla="*/ 209931 h 209931"/>
              <a:gd name="connsiteX7" fmla="*/ 195358 w 234314"/>
              <a:gd name="connsiteY7" fmla="*/ 209931 h 209931"/>
              <a:gd name="connsiteX8" fmla="*/ 167830 w 234314"/>
              <a:gd name="connsiteY8" fmla="*/ 146685 h 209931"/>
              <a:gd name="connsiteX9" fmla="*/ 65056 w 234314"/>
              <a:gd name="connsiteY9" fmla="*/ 146685 h 209931"/>
              <a:gd name="connsiteX10" fmla="*/ 36481 w 234314"/>
              <a:gd name="connsiteY10" fmla="*/ 209931 h 209931"/>
              <a:gd name="connsiteX11" fmla="*/ 0 w 234314"/>
              <a:gd name="connsiteY11" fmla="*/ 209931 h 209931"/>
              <a:gd name="connsiteX12" fmla="*/ 98965 w 234314"/>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4" h="209931">
                <a:moveTo>
                  <a:pt x="157829" y="123635"/>
                </a:moveTo>
                <a:lnTo>
                  <a:pt x="117443" y="31052"/>
                </a:lnTo>
                <a:lnTo>
                  <a:pt x="75533" y="123635"/>
                </a:lnTo>
                <a:lnTo>
                  <a:pt x="157829" y="123635"/>
                </a:lnTo>
                <a:close/>
                <a:moveTo>
                  <a:pt x="98965" y="0"/>
                </a:moveTo>
                <a:lnTo>
                  <a:pt x="139065" y="0"/>
                </a:lnTo>
                <a:lnTo>
                  <a:pt x="234315" y="209931"/>
                </a:lnTo>
                <a:lnTo>
                  <a:pt x="195358" y="209931"/>
                </a:lnTo>
                <a:lnTo>
                  <a:pt x="167830"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3" name="Forma Livre: Forma 22">
            <a:extLst>
              <a:ext uri="{FF2B5EF4-FFF2-40B4-BE49-F238E27FC236}">
                <a16:creationId xmlns:a16="http://schemas.microsoft.com/office/drawing/2014/main" id="{EA775FA3-70DB-F413-1B0B-6C0535318B49}"/>
              </a:ext>
            </a:extLst>
          </xdr:cNvPr>
          <xdr:cNvSpPr/>
        </xdr:nvSpPr>
        <xdr:spPr>
          <a:xfrm>
            <a:off x="11635090" y="11578377"/>
            <a:ext cx="213836" cy="209835"/>
          </a:xfrm>
          <a:custGeom>
            <a:avLst/>
            <a:gdLst>
              <a:gd name="connsiteX0" fmla="*/ 115253 w 213836"/>
              <a:gd name="connsiteY0" fmla="*/ 96298 h 209835"/>
              <a:gd name="connsiteX1" fmla="*/ 153448 w 213836"/>
              <a:gd name="connsiteY1" fmla="*/ 88297 h 209835"/>
              <a:gd name="connsiteX2" fmla="*/ 167450 w 213836"/>
              <a:gd name="connsiteY2" fmla="*/ 59627 h 209835"/>
              <a:gd name="connsiteX3" fmla="*/ 147828 w 213836"/>
              <a:gd name="connsiteY3" fmla="*/ 29146 h 209835"/>
              <a:gd name="connsiteX4" fmla="*/ 119825 w 213836"/>
              <a:gd name="connsiteY4" fmla="*/ 24860 h 209835"/>
              <a:gd name="connsiteX5" fmla="*/ 36005 w 213836"/>
              <a:gd name="connsiteY5" fmla="*/ 24860 h 209835"/>
              <a:gd name="connsiteX6" fmla="*/ 36005 w 213836"/>
              <a:gd name="connsiteY6" fmla="*/ 96298 h 209835"/>
              <a:gd name="connsiteX7" fmla="*/ 115253 w 213836"/>
              <a:gd name="connsiteY7" fmla="*/ 96298 h 209835"/>
              <a:gd name="connsiteX8" fmla="*/ 95 w 213836"/>
              <a:gd name="connsiteY8" fmla="*/ 0 h 209835"/>
              <a:gd name="connsiteX9" fmla="*/ 119158 w 213836"/>
              <a:gd name="connsiteY9" fmla="*/ 0 h 209835"/>
              <a:gd name="connsiteX10" fmla="*/ 167640 w 213836"/>
              <a:gd name="connsiteY10" fmla="*/ 6953 h 209835"/>
              <a:gd name="connsiteX11" fmla="*/ 203835 w 213836"/>
              <a:gd name="connsiteY11" fmla="*/ 56674 h 209835"/>
              <a:gd name="connsiteX12" fmla="*/ 194025 w 213836"/>
              <a:gd name="connsiteY12" fmla="*/ 87439 h 209835"/>
              <a:gd name="connsiteX13" fmla="*/ 166593 w 213836"/>
              <a:gd name="connsiteY13" fmla="*/ 106775 h 209835"/>
              <a:gd name="connsiteX14" fmla="*/ 189738 w 213836"/>
              <a:gd name="connsiteY14" fmla="*/ 119920 h 209835"/>
              <a:gd name="connsiteX15" fmla="*/ 198501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50 w 213836"/>
              <a:gd name="connsiteY22" fmla="*/ 186404 h 209835"/>
              <a:gd name="connsiteX23" fmla="*/ 163545 w 213836"/>
              <a:gd name="connsiteY23" fmla="*/ 151257 h 209835"/>
              <a:gd name="connsiteX24" fmla="*/ 145066 w 213836"/>
              <a:gd name="connsiteY24" fmla="*/ 123635 h 209835"/>
              <a:gd name="connsiteX25" fmla="*/ 114110 w 213836"/>
              <a:gd name="connsiteY25" fmla="*/ 119729 h 209835"/>
              <a:gd name="connsiteX26" fmla="*/ 35909 w 213836"/>
              <a:gd name="connsiteY26" fmla="*/ 119729 h 209835"/>
              <a:gd name="connsiteX27" fmla="*/ 35909 w 213836"/>
              <a:gd name="connsiteY27" fmla="*/ 209836 h 209835"/>
              <a:gd name="connsiteX28" fmla="*/ 0 w 213836"/>
              <a:gd name="connsiteY28" fmla="*/ 209836 h 209835"/>
              <a:gd name="connsiteX29" fmla="*/ 0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253" y="96298"/>
                </a:moveTo>
                <a:cubicBezTo>
                  <a:pt x="131350" y="96298"/>
                  <a:pt x="144019" y="93631"/>
                  <a:pt x="153448" y="88297"/>
                </a:cubicBezTo>
                <a:cubicBezTo>
                  <a:pt x="162783" y="82963"/>
                  <a:pt x="167450" y="73343"/>
                  <a:pt x="167450" y="59627"/>
                </a:cubicBezTo>
                <a:cubicBezTo>
                  <a:pt x="167450" y="44672"/>
                  <a:pt x="160877" y="34480"/>
                  <a:pt x="147828" y="29146"/>
                </a:cubicBezTo>
                <a:cubicBezTo>
                  <a:pt x="140875" y="26289"/>
                  <a:pt x="131445" y="24860"/>
                  <a:pt x="119825" y="24860"/>
                </a:cubicBezTo>
                <a:lnTo>
                  <a:pt x="36005" y="24860"/>
                </a:lnTo>
                <a:lnTo>
                  <a:pt x="36005" y="96298"/>
                </a:lnTo>
                <a:lnTo>
                  <a:pt x="115253" y="96298"/>
                </a:lnTo>
                <a:close/>
                <a:moveTo>
                  <a:pt x="95" y="0"/>
                </a:moveTo>
                <a:lnTo>
                  <a:pt x="119158" y="0"/>
                </a:lnTo>
                <a:cubicBezTo>
                  <a:pt x="138779" y="0"/>
                  <a:pt x="154972" y="2286"/>
                  <a:pt x="167640" y="6953"/>
                </a:cubicBezTo>
                <a:cubicBezTo>
                  <a:pt x="191834" y="16002"/>
                  <a:pt x="203835" y="32576"/>
                  <a:pt x="203835" y="56674"/>
                </a:cubicBezTo>
                <a:cubicBezTo>
                  <a:pt x="203835" y="69247"/>
                  <a:pt x="200596" y="79438"/>
                  <a:pt x="194025" y="87439"/>
                </a:cubicBezTo>
                <a:cubicBezTo>
                  <a:pt x="187453" y="95440"/>
                  <a:pt x="178308" y="101918"/>
                  <a:pt x="166593" y="106775"/>
                </a:cubicBezTo>
                <a:cubicBezTo>
                  <a:pt x="176879" y="110109"/>
                  <a:pt x="184595" y="114395"/>
                  <a:pt x="189738" y="119920"/>
                </a:cubicBezTo>
                <a:cubicBezTo>
                  <a:pt x="194977" y="125349"/>
                  <a:pt x="197834" y="134112"/>
                  <a:pt x="198501" y="146304"/>
                </a:cubicBezTo>
                <a:lnTo>
                  <a:pt x="199930" y="174403"/>
                </a:lnTo>
                <a:cubicBezTo>
                  <a:pt x="200311" y="182404"/>
                  <a:pt x="201073" y="188404"/>
                  <a:pt x="202406" y="192214"/>
                </a:cubicBezTo>
                <a:cubicBezTo>
                  <a:pt x="204597" y="198882"/>
                  <a:pt x="208407" y="203168"/>
                  <a:pt x="213836" y="204978"/>
                </a:cubicBezTo>
                <a:lnTo>
                  <a:pt x="213836" y="209836"/>
                </a:lnTo>
                <a:lnTo>
                  <a:pt x="169831" y="209836"/>
                </a:lnTo>
                <a:cubicBezTo>
                  <a:pt x="168688" y="208026"/>
                  <a:pt x="167736" y="205740"/>
                  <a:pt x="167069" y="202787"/>
                </a:cubicBezTo>
                <a:cubicBezTo>
                  <a:pt x="166497" y="199930"/>
                  <a:pt x="165831" y="194405"/>
                  <a:pt x="165450" y="186404"/>
                </a:cubicBezTo>
                <a:lnTo>
                  <a:pt x="163545" y="151257"/>
                </a:lnTo>
                <a:cubicBezTo>
                  <a:pt x="162687" y="137446"/>
                  <a:pt x="156591" y="128302"/>
                  <a:pt x="145066" y="123635"/>
                </a:cubicBezTo>
                <a:cubicBezTo>
                  <a:pt x="138494" y="120968"/>
                  <a:pt x="128207" y="119729"/>
                  <a:pt x="114110" y="119729"/>
                </a:cubicBezTo>
                <a:lnTo>
                  <a:pt x="35909" y="119729"/>
                </a:lnTo>
                <a:lnTo>
                  <a:pt x="35909" y="209836"/>
                </a:lnTo>
                <a:lnTo>
                  <a:pt x="0" y="209836"/>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4" name="Forma Livre: Forma 23">
            <a:extLst>
              <a:ext uri="{FF2B5EF4-FFF2-40B4-BE49-F238E27FC236}">
                <a16:creationId xmlns:a16="http://schemas.microsoft.com/office/drawing/2014/main" id="{B635D0AD-56E1-CFF1-8247-EC2021D7D1D7}"/>
              </a:ext>
            </a:extLst>
          </xdr:cNvPr>
          <xdr:cNvSpPr/>
        </xdr:nvSpPr>
        <xdr:spPr>
          <a:xfrm>
            <a:off x="11870161" y="11573614"/>
            <a:ext cx="203841" cy="220789"/>
          </a:xfrm>
          <a:custGeom>
            <a:avLst/>
            <a:gdLst>
              <a:gd name="connsiteX0" fmla="*/ 33725 w 203841"/>
              <a:gd name="connsiteY0" fmla="*/ 146971 h 220789"/>
              <a:gd name="connsiteX1" fmla="*/ 43822 w 203841"/>
              <a:gd name="connsiteY1" fmla="*/ 176022 h 220789"/>
              <a:gd name="connsiteX2" fmla="*/ 103638 w 203841"/>
              <a:gd name="connsiteY2" fmla="*/ 196977 h 220789"/>
              <a:gd name="connsiteX3" fmla="*/ 138691 w 203841"/>
              <a:gd name="connsiteY3" fmla="*/ 192310 h 220789"/>
              <a:gd name="connsiteX4" fmla="*/ 169266 w 203841"/>
              <a:gd name="connsiteY4" fmla="*/ 160782 h 220789"/>
              <a:gd name="connsiteX5" fmla="*/ 156216 w 203841"/>
              <a:gd name="connsiteY5" fmla="*/ 136303 h 220789"/>
              <a:gd name="connsiteX6" fmla="*/ 115068 w 203841"/>
              <a:gd name="connsiteY6" fmla="*/ 123920 h 220789"/>
              <a:gd name="connsiteX7" fmla="*/ 80493 w 203841"/>
              <a:gd name="connsiteY7" fmla="*/ 117538 h 220789"/>
              <a:gd name="connsiteX8" fmla="*/ 32868 w 203841"/>
              <a:gd name="connsiteY8" fmla="*/ 103727 h 220789"/>
              <a:gd name="connsiteX9" fmla="*/ 8674 w 203841"/>
              <a:gd name="connsiteY9" fmla="*/ 64484 h 220789"/>
              <a:gd name="connsiteX10" fmla="*/ 32487 w 203841"/>
              <a:gd name="connsiteY10" fmla="*/ 18097 h 220789"/>
              <a:gd name="connsiteX11" fmla="*/ 99924 w 203841"/>
              <a:gd name="connsiteY11" fmla="*/ 0 h 220789"/>
              <a:gd name="connsiteX12" fmla="*/ 168123 w 203841"/>
              <a:gd name="connsiteY12" fmla="*/ 15907 h 220789"/>
              <a:gd name="connsiteX13" fmla="*/ 196126 w 203841"/>
              <a:gd name="connsiteY13" fmla="*/ 66675 h 220789"/>
              <a:gd name="connsiteX14" fmla="*/ 162503 w 203841"/>
              <a:gd name="connsiteY14" fmla="*/ 66675 h 220789"/>
              <a:gd name="connsiteX15" fmla="*/ 151549 w 203841"/>
              <a:gd name="connsiteY15" fmla="*/ 40862 h 220789"/>
              <a:gd name="connsiteX16" fmla="*/ 98781 w 203841"/>
              <a:gd name="connsiteY16" fmla="*/ 24479 h 220789"/>
              <a:gd name="connsiteX17" fmla="*/ 55442 w 203841"/>
              <a:gd name="connsiteY17" fmla="*/ 35052 h 220789"/>
              <a:gd name="connsiteX18" fmla="*/ 42298 w 203841"/>
              <a:gd name="connsiteY18" fmla="*/ 59627 h 220789"/>
              <a:gd name="connsiteX19" fmla="*/ 57823 w 203841"/>
              <a:gd name="connsiteY19" fmla="*/ 82105 h 220789"/>
              <a:gd name="connsiteX20" fmla="*/ 104020 w 203841"/>
              <a:gd name="connsiteY20" fmla="*/ 93536 h 220789"/>
              <a:gd name="connsiteX21" fmla="*/ 139643 w 203841"/>
              <a:gd name="connsiteY21" fmla="*/ 100013 h 220789"/>
              <a:gd name="connsiteX22" fmla="*/ 179553 w 203841"/>
              <a:gd name="connsiteY22" fmla="*/ 113538 h 220789"/>
              <a:gd name="connsiteX23" fmla="*/ 203841 w 203841"/>
              <a:gd name="connsiteY23" fmla="*/ 156020 h 220789"/>
              <a:gd name="connsiteX24" fmla="*/ 172981 w 203841"/>
              <a:gd name="connsiteY24" fmla="*/ 205835 h 220789"/>
              <a:gd name="connsiteX25" fmla="*/ 101162 w 203841"/>
              <a:gd name="connsiteY25" fmla="*/ 220789 h 220789"/>
              <a:gd name="connsiteX26" fmla="*/ 26486 w 203841"/>
              <a:gd name="connsiteY26" fmla="*/ 200787 h 220789"/>
              <a:gd name="connsiteX27" fmla="*/ 7 w 203841"/>
              <a:gd name="connsiteY27" fmla="*/ 146971 h 220789"/>
              <a:gd name="connsiteX28" fmla="*/ 33725 w 203841"/>
              <a:gd name="connsiteY28" fmla="*/ 146971 h 2207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203841" h="220789">
                <a:moveTo>
                  <a:pt x="33725" y="146971"/>
                </a:moveTo>
                <a:cubicBezTo>
                  <a:pt x="34392" y="158972"/>
                  <a:pt x="37916" y="168593"/>
                  <a:pt x="43822" y="176022"/>
                </a:cubicBezTo>
                <a:cubicBezTo>
                  <a:pt x="55156" y="189929"/>
                  <a:pt x="75159" y="196977"/>
                  <a:pt x="103638" y="196977"/>
                </a:cubicBezTo>
                <a:cubicBezTo>
                  <a:pt x="116497" y="196977"/>
                  <a:pt x="128118" y="195453"/>
                  <a:pt x="138691" y="192310"/>
                </a:cubicBezTo>
                <a:cubicBezTo>
                  <a:pt x="159074" y="186595"/>
                  <a:pt x="169266" y="176022"/>
                  <a:pt x="169266" y="160782"/>
                </a:cubicBezTo>
                <a:cubicBezTo>
                  <a:pt x="169266" y="149352"/>
                  <a:pt x="164885" y="141161"/>
                  <a:pt x="156216" y="136303"/>
                </a:cubicBezTo>
                <a:cubicBezTo>
                  <a:pt x="147454" y="131540"/>
                  <a:pt x="133833" y="127445"/>
                  <a:pt x="115068" y="123920"/>
                </a:cubicBezTo>
                <a:lnTo>
                  <a:pt x="80493" y="117538"/>
                </a:lnTo>
                <a:cubicBezTo>
                  <a:pt x="58014" y="113347"/>
                  <a:pt x="42107" y="108776"/>
                  <a:pt x="32868" y="103727"/>
                </a:cubicBezTo>
                <a:cubicBezTo>
                  <a:pt x="16676" y="94964"/>
                  <a:pt x="8674" y="81820"/>
                  <a:pt x="8674" y="64484"/>
                </a:cubicBezTo>
                <a:cubicBezTo>
                  <a:pt x="8674" y="45625"/>
                  <a:pt x="16676" y="30194"/>
                  <a:pt x="32487" y="18097"/>
                </a:cubicBezTo>
                <a:cubicBezTo>
                  <a:pt x="48298" y="6001"/>
                  <a:pt x="70777" y="0"/>
                  <a:pt x="99924" y="0"/>
                </a:cubicBezTo>
                <a:cubicBezTo>
                  <a:pt x="126594" y="0"/>
                  <a:pt x="149454" y="5334"/>
                  <a:pt x="168123" y="15907"/>
                </a:cubicBezTo>
                <a:cubicBezTo>
                  <a:pt x="186792" y="26479"/>
                  <a:pt x="196126" y="43339"/>
                  <a:pt x="196126" y="66675"/>
                </a:cubicBezTo>
                <a:lnTo>
                  <a:pt x="162503" y="66675"/>
                </a:lnTo>
                <a:cubicBezTo>
                  <a:pt x="160788" y="55531"/>
                  <a:pt x="157264" y="46958"/>
                  <a:pt x="151549" y="40862"/>
                </a:cubicBezTo>
                <a:cubicBezTo>
                  <a:pt x="141167" y="30004"/>
                  <a:pt x="123546" y="24479"/>
                  <a:pt x="98781" y="24479"/>
                </a:cubicBezTo>
                <a:cubicBezTo>
                  <a:pt x="78588" y="24479"/>
                  <a:pt x="64205" y="28004"/>
                  <a:pt x="55442" y="35052"/>
                </a:cubicBezTo>
                <a:cubicBezTo>
                  <a:pt x="46679" y="42101"/>
                  <a:pt x="42298" y="50292"/>
                  <a:pt x="42298" y="59627"/>
                </a:cubicBezTo>
                <a:cubicBezTo>
                  <a:pt x="42298" y="69818"/>
                  <a:pt x="47441" y="77343"/>
                  <a:pt x="57823" y="82105"/>
                </a:cubicBezTo>
                <a:cubicBezTo>
                  <a:pt x="64681" y="85344"/>
                  <a:pt x="80112" y="89059"/>
                  <a:pt x="104020" y="93536"/>
                </a:cubicBezTo>
                <a:lnTo>
                  <a:pt x="139643" y="100013"/>
                </a:lnTo>
                <a:cubicBezTo>
                  <a:pt x="156883" y="103442"/>
                  <a:pt x="170123" y="107918"/>
                  <a:pt x="179553" y="113538"/>
                </a:cubicBezTo>
                <a:cubicBezTo>
                  <a:pt x="195745" y="123349"/>
                  <a:pt x="203841" y="137446"/>
                  <a:pt x="203841" y="156020"/>
                </a:cubicBezTo>
                <a:cubicBezTo>
                  <a:pt x="203841" y="179261"/>
                  <a:pt x="193554" y="195834"/>
                  <a:pt x="172981" y="205835"/>
                </a:cubicBezTo>
                <a:cubicBezTo>
                  <a:pt x="152311" y="215741"/>
                  <a:pt x="128404" y="220789"/>
                  <a:pt x="101162" y="220789"/>
                </a:cubicBezTo>
                <a:cubicBezTo>
                  <a:pt x="69444" y="220789"/>
                  <a:pt x="44488" y="214122"/>
                  <a:pt x="26486" y="200787"/>
                </a:cubicBezTo>
                <a:cubicBezTo>
                  <a:pt x="8484" y="187547"/>
                  <a:pt x="-279" y="169640"/>
                  <a:pt x="7" y="146971"/>
                </a:cubicBezTo>
                <a:lnTo>
                  <a:pt x="33725" y="14697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5" name="Forma Livre: Forma 24">
            <a:extLst>
              <a:ext uri="{FF2B5EF4-FFF2-40B4-BE49-F238E27FC236}">
                <a16:creationId xmlns:a16="http://schemas.microsoft.com/office/drawing/2014/main" id="{144992E8-1C9E-59C7-25CF-600AB3D00F95}"/>
              </a:ext>
            </a:extLst>
          </xdr:cNvPr>
          <xdr:cNvSpPr/>
        </xdr:nvSpPr>
        <xdr:spPr>
          <a:xfrm>
            <a:off x="12085242" y="11578377"/>
            <a:ext cx="234315" cy="209931"/>
          </a:xfrm>
          <a:custGeom>
            <a:avLst/>
            <a:gdLst>
              <a:gd name="connsiteX0" fmla="*/ 157925 w 234315"/>
              <a:gd name="connsiteY0" fmla="*/ 123635 h 209931"/>
              <a:gd name="connsiteX1" fmla="*/ 117634 w 234315"/>
              <a:gd name="connsiteY1" fmla="*/ 31052 h 209931"/>
              <a:gd name="connsiteX2" fmla="*/ 75629 w 234315"/>
              <a:gd name="connsiteY2" fmla="*/ 123635 h 209931"/>
              <a:gd name="connsiteX3" fmla="*/ 157925 w 234315"/>
              <a:gd name="connsiteY3" fmla="*/ 123635 h 209931"/>
              <a:gd name="connsiteX4" fmla="*/ 99060 w 234315"/>
              <a:gd name="connsiteY4" fmla="*/ 0 h 209931"/>
              <a:gd name="connsiteX5" fmla="*/ 139161 w 234315"/>
              <a:gd name="connsiteY5" fmla="*/ 0 h 209931"/>
              <a:gd name="connsiteX6" fmla="*/ 234315 w 234315"/>
              <a:gd name="connsiteY6" fmla="*/ 209931 h 209931"/>
              <a:gd name="connsiteX7" fmla="*/ 195358 w 234315"/>
              <a:gd name="connsiteY7" fmla="*/ 209931 h 209931"/>
              <a:gd name="connsiteX8" fmla="*/ 167830 w 234315"/>
              <a:gd name="connsiteY8" fmla="*/ 146685 h 209931"/>
              <a:gd name="connsiteX9" fmla="*/ 65151 w 234315"/>
              <a:gd name="connsiteY9" fmla="*/ 146685 h 209931"/>
              <a:gd name="connsiteX10" fmla="*/ 36481 w 234315"/>
              <a:gd name="connsiteY10" fmla="*/ 209931 h 209931"/>
              <a:gd name="connsiteX11" fmla="*/ 0 w 234315"/>
              <a:gd name="connsiteY11" fmla="*/ 209931 h 209931"/>
              <a:gd name="connsiteX12" fmla="*/ 99060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925" y="123635"/>
                </a:moveTo>
                <a:lnTo>
                  <a:pt x="117634" y="31052"/>
                </a:lnTo>
                <a:lnTo>
                  <a:pt x="75629" y="123635"/>
                </a:lnTo>
                <a:lnTo>
                  <a:pt x="157925" y="123635"/>
                </a:lnTo>
                <a:close/>
                <a:moveTo>
                  <a:pt x="99060" y="0"/>
                </a:moveTo>
                <a:lnTo>
                  <a:pt x="139161" y="0"/>
                </a:lnTo>
                <a:lnTo>
                  <a:pt x="234315" y="209931"/>
                </a:lnTo>
                <a:lnTo>
                  <a:pt x="195358" y="209931"/>
                </a:lnTo>
                <a:lnTo>
                  <a:pt x="167830" y="146685"/>
                </a:lnTo>
                <a:lnTo>
                  <a:pt x="65151" y="146685"/>
                </a:lnTo>
                <a:lnTo>
                  <a:pt x="36481" y="209931"/>
                </a:lnTo>
                <a:lnTo>
                  <a:pt x="0" y="209931"/>
                </a:lnTo>
                <a:lnTo>
                  <a:pt x="9906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6" name="Forma Livre: Forma 25">
            <a:extLst>
              <a:ext uri="{FF2B5EF4-FFF2-40B4-BE49-F238E27FC236}">
                <a16:creationId xmlns:a16="http://schemas.microsoft.com/office/drawing/2014/main" id="{3DC2CB5C-DB3B-4B11-1890-ADFEAE5F16C6}"/>
              </a:ext>
            </a:extLst>
          </xdr:cNvPr>
          <xdr:cNvSpPr/>
        </xdr:nvSpPr>
        <xdr:spPr>
          <a:xfrm>
            <a:off x="12341178" y="11578377"/>
            <a:ext cx="167354" cy="209931"/>
          </a:xfrm>
          <a:custGeom>
            <a:avLst/>
            <a:gdLst>
              <a:gd name="connsiteX0" fmla="*/ 0 w 167354"/>
              <a:gd name="connsiteY0" fmla="*/ 0 h 209931"/>
              <a:gd name="connsiteX1" fmla="*/ 36005 w 167354"/>
              <a:gd name="connsiteY1" fmla="*/ 0 h 209931"/>
              <a:gd name="connsiteX2" fmla="*/ 36005 w 167354"/>
              <a:gd name="connsiteY2" fmla="*/ 184976 h 209931"/>
              <a:gd name="connsiteX3" fmla="*/ 167354 w 167354"/>
              <a:gd name="connsiteY3" fmla="*/ 184976 h 209931"/>
              <a:gd name="connsiteX4" fmla="*/ 167354 w 167354"/>
              <a:gd name="connsiteY4" fmla="*/ 209931 h 209931"/>
              <a:gd name="connsiteX5" fmla="*/ 0 w 167354"/>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354" h="209931">
                <a:moveTo>
                  <a:pt x="0" y="0"/>
                </a:moveTo>
                <a:lnTo>
                  <a:pt x="36005" y="0"/>
                </a:lnTo>
                <a:lnTo>
                  <a:pt x="36005" y="184976"/>
                </a:lnTo>
                <a:lnTo>
                  <a:pt x="167354" y="184976"/>
                </a:lnTo>
                <a:lnTo>
                  <a:pt x="167354"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grpSp>
    <xdr:clientData/>
  </xdr:absoluteAnchor>
</xdr:wsDr>
</file>

<file path=xl/drawings/drawing6.xml><?xml version="1.0" encoding="utf-8"?>
<xdr:wsDr xmlns:xdr="http://schemas.openxmlformats.org/drawingml/2006/spreadsheetDrawing" xmlns:a="http://schemas.openxmlformats.org/drawingml/2006/main">
  <xdr:absoluteAnchor>
    <xdr:pos x="215900" y="139700"/>
    <xdr:ext cx="1516540" cy="129540"/>
    <xdr:grpSp>
      <xdr:nvGrpSpPr>
        <xdr:cNvPr id="2" name="Agrupar 11">
          <a:extLst>
            <a:ext uri="{FF2B5EF4-FFF2-40B4-BE49-F238E27FC236}">
              <a16:creationId xmlns:a16="http://schemas.microsoft.com/office/drawing/2014/main" id="{D7539E87-AE54-4C43-8340-A142F3FC42C8}"/>
            </a:ext>
          </a:extLst>
        </xdr:cNvPr>
        <xdr:cNvGrpSpPr/>
      </xdr:nvGrpSpPr>
      <xdr:grpSpPr>
        <a:xfrm>
          <a:off x="215900" y="139700"/>
          <a:ext cx="1516540" cy="129540"/>
          <a:chOff x="8887890" y="11505511"/>
          <a:chExt cx="3620642" cy="289559"/>
        </a:xfrm>
        <a:solidFill>
          <a:schemeClr val="bg1"/>
        </a:solidFill>
      </xdr:grpSpPr>
      <xdr:sp macro="" textlink="">
        <xdr:nvSpPr>
          <xdr:cNvPr id="3" name="Forma Livre: Forma 12">
            <a:extLst>
              <a:ext uri="{FF2B5EF4-FFF2-40B4-BE49-F238E27FC236}">
                <a16:creationId xmlns:a16="http://schemas.microsoft.com/office/drawing/2014/main" id="{6E023086-B9AE-15F8-A460-B1CBD277FF25}"/>
              </a:ext>
            </a:extLst>
          </xdr:cNvPr>
          <xdr:cNvSpPr/>
        </xdr:nvSpPr>
        <xdr:spPr>
          <a:xfrm>
            <a:off x="8887890" y="11505511"/>
            <a:ext cx="316801" cy="282797"/>
          </a:xfrm>
          <a:custGeom>
            <a:avLst/>
            <a:gdLst>
              <a:gd name="connsiteX0" fmla="*/ 213932 w 316801"/>
              <a:gd name="connsiteY0" fmla="*/ 166688 h 282797"/>
              <a:gd name="connsiteX1" fmla="*/ 159639 w 316801"/>
              <a:gd name="connsiteY1" fmla="*/ 41815 h 282797"/>
              <a:gd name="connsiteX2" fmla="*/ 103061 w 316801"/>
              <a:gd name="connsiteY2" fmla="*/ 166688 h 282797"/>
              <a:gd name="connsiteX3" fmla="*/ 213932 w 316801"/>
              <a:gd name="connsiteY3" fmla="*/ 166688 h 282797"/>
              <a:gd name="connsiteX4" fmla="*/ 133445 w 316801"/>
              <a:gd name="connsiteY4" fmla="*/ 0 h 282797"/>
              <a:gd name="connsiteX5" fmla="*/ 188786 w 316801"/>
              <a:gd name="connsiteY5" fmla="*/ 0 h 282797"/>
              <a:gd name="connsiteX6" fmla="*/ 316802 w 316801"/>
              <a:gd name="connsiteY6" fmla="*/ 282797 h 282797"/>
              <a:gd name="connsiteX7" fmla="*/ 264414 w 316801"/>
              <a:gd name="connsiteY7" fmla="*/ 282797 h 282797"/>
              <a:gd name="connsiteX8" fmla="*/ 227266 w 316801"/>
              <a:gd name="connsiteY8" fmla="*/ 197453 h 282797"/>
              <a:gd name="connsiteX9" fmla="*/ 89154 w 316801"/>
              <a:gd name="connsiteY9" fmla="*/ 197453 h 282797"/>
              <a:gd name="connsiteX10" fmla="*/ 50482 w 316801"/>
              <a:gd name="connsiteY10" fmla="*/ 282797 h 282797"/>
              <a:gd name="connsiteX11" fmla="*/ 0 w 316801"/>
              <a:gd name="connsiteY11" fmla="*/ 282797 h 282797"/>
              <a:gd name="connsiteX12" fmla="*/ 133445 w 316801"/>
              <a:gd name="connsiteY12"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16801" h="282797">
                <a:moveTo>
                  <a:pt x="213932" y="166688"/>
                </a:moveTo>
                <a:lnTo>
                  <a:pt x="159639" y="41815"/>
                </a:lnTo>
                <a:lnTo>
                  <a:pt x="103061" y="166688"/>
                </a:lnTo>
                <a:lnTo>
                  <a:pt x="213932" y="166688"/>
                </a:lnTo>
                <a:close/>
                <a:moveTo>
                  <a:pt x="133445" y="0"/>
                </a:moveTo>
                <a:lnTo>
                  <a:pt x="188786" y="0"/>
                </a:lnTo>
                <a:lnTo>
                  <a:pt x="316802" y="282797"/>
                </a:lnTo>
                <a:lnTo>
                  <a:pt x="264414" y="282797"/>
                </a:lnTo>
                <a:lnTo>
                  <a:pt x="227266" y="197453"/>
                </a:lnTo>
                <a:lnTo>
                  <a:pt x="89154" y="197453"/>
                </a:lnTo>
                <a:lnTo>
                  <a:pt x="50482" y="282797"/>
                </a:lnTo>
                <a:lnTo>
                  <a:pt x="0" y="282797"/>
                </a:lnTo>
                <a:lnTo>
                  <a:pt x="13344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4" name="Forma Livre: Forma 13">
            <a:extLst>
              <a:ext uri="{FF2B5EF4-FFF2-40B4-BE49-F238E27FC236}">
                <a16:creationId xmlns:a16="http://schemas.microsoft.com/office/drawing/2014/main" id="{B31143E8-4064-4B25-8518-39711FB3367D}"/>
              </a:ext>
            </a:extLst>
          </xdr:cNvPr>
          <xdr:cNvSpPr/>
        </xdr:nvSpPr>
        <xdr:spPr>
          <a:xfrm>
            <a:off x="9234505" y="11578377"/>
            <a:ext cx="167258" cy="209931"/>
          </a:xfrm>
          <a:custGeom>
            <a:avLst/>
            <a:gdLst>
              <a:gd name="connsiteX0" fmla="*/ 0 w 167258"/>
              <a:gd name="connsiteY0" fmla="*/ 0 h 209931"/>
              <a:gd name="connsiteX1" fmla="*/ 35909 w 167258"/>
              <a:gd name="connsiteY1" fmla="*/ 0 h 209931"/>
              <a:gd name="connsiteX2" fmla="*/ 35909 w 167258"/>
              <a:gd name="connsiteY2" fmla="*/ 184976 h 209931"/>
              <a:gd name="connsiteX3" fmla="*/ 167259 w 167258"/>
              <a:gd name="connsiteY3" fmla="*/ 184976 h 209931"/>
              <a:gd name="connsiteX4" fmla="*/ 167259 w 167258"/>
              <a:gd name="connsiteY4" fmla="*/ 209931 h 209931"/>
              <a:gd name="connsiteX5" fmla="*/ 0 w 167258"/>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258" h="209931">
                <a:moveTo>
                  <a:pt x="0" y="0"/>
                </a:moveTo>
                <a:lnTo>
                  <a:pt x="35909" y="0"/>
                </a:lnTo>
                <a:lnTo>
                  <a:pt x="35909" y="184976"/>
                </a:lnTo>
                <a:lnTo>
                  <a:pt x="167259" y="184976"/>
                </a:lnTo>
                <a:lnTo>
                  <a:pt x="167259"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5" name="Forma Livre: Forma 14">
            <a:extLst>
              <a:ext uri="{FF2B5EF4-FFF2-40B4-BE49-F238E27FC236}">
                <a16:creationId xmlns:a16="http://schemas.microsoft.com/office/drawing/2014/main" id="{E7637507-B63A-72D1-2447-37030841A47F}"/>
              </a:ext>
            </a:extLst>
          </xdr:cNvPr>
          <xdr:cNvSpPr/>
        </xdr:nvSpPr>
        <xdr:spPr>
          <a:xfrm>
            <a:off x="9366140" y="11578377"/>
            <a:ext cx="229171" cy="209931"/>
          </a:xfrm>
          <a:custGeom>
            <a:avLst/>
            <a:gdLst>
              <a:gd name="connsiteX0" fmla="*/ 39338 w 229171"/>
              <a:gd name="connsiteY0" fmla="*/ 0 h 209931"/>
              <a:gd name="connsiteX1" fmla="*/ 114585 w 229171"/>
              <a:gd name="connsiteY1" fmla="*/ 178689 h 209931"/>
              <a:gd name="connsiteX2" fmla="*/ 189357 w 229171"/>
              <a:gd name="connsiteY2" fmla="*/ 0 h 209931"/>
              <a:gd name="connsiteX3" fmla="*/ 229171 w 229171"/>
              <a:gd name="connsiteY3" fmla="*/ 0 h 209931"/>
              <a:gd name="connsiteX4" fmla="*/ 133159 w 229171"/>
              <a:gd name="connsiteY4" fmla="*/ 209931 h 209931"/>
              <a:gd name="connsiteX5" fmla="*/ 95440 w 229171"/>
              <a:gd name="connsiteY5" fmla="*/ 209931 h 209931"/>
              <a:gd name="connsiteX6" fmla="*/ 0 w 229171"/>
              <a:gd name="connsiteY6"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9171" h="209931">
                <a:moveTo>
                  <a:pt x="39338" y="0"/>
                </a:moveTo>
                <a:lnTo>
                  <a:pt x="114585" y="178689"/>
                </a:lnTo>
                <a:lnTo>
                  <a:pt x="189357" y="0"/>
                </a:lnTo>
                <a:lnTo>
                  <a:pt x="229171" y="0"/>
                </a:lnTo>
                <a:lnTo>
                  <a:pt x="133159" y="209931"/>
                </a:lnTo>
                <a:lnTo>
                  <a:pt x="95440" y="209931"/>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6" name="Forma Livre: Forma 15">
            <a:extLst>
              <a:ext uri="{FF2B5EF4-FFF2-40B4-BE49-F238E27FC236}">
                <a16:creationId xmlns:a16="http://schemas.microsoft.com/office/drawing/2014/main" id="{53BAA46A-A097-060D-2326-2405176FD37B}"/>
              </a:ext>
            </a:extLst>
          </xdr:cNvPr>
          <xdr:cNvSpPr/>
        </xdr:nvSpPr>
        <xdr:spPr>
          <a:xfrm>
            <a:off x="9549115" y="11578377"/>
            <a:ext cx="234315" cy="209931"/>
          </a:xfrm>
          <a:custGeom>
            <a:avLst/>
            <a:gdLst>
              <a:gd name="connsiteX0" fmla="*/ 157639 w 234315"/>
              <a:gd name="connsiteY0" fmla="*/ 123635 h 209931"/>
              <a:gd name="connsiteX1" fmla="*/ 117348 w 234315"/>
              <a:gd name="connsiteY1" fmla="*/ 31052 h 209931"/>
              <a:gd name="connsiteX2" fmla="*/ 75438 w 234315"/>
              <a:gd name="connsiteY2" fmla="*/ 123635 h 209931"/>
              <a:gd name="connsiteX3" fmla="*/ 157639 w 234315"/>
              <a:gd name="connsiteY3" fmla="*/ 123635 h 209931"/>
              <a:gd name="connsiteX4" fmla="*/ 98965 w 234315"/>
              <a:gd name="connsiteY4" fmla="*/ 0 h 209931"/>
              <a:gd name="connsiteX5" fmla="*/ 139065 w 234315"/>
              <a:gd name="connsiteY5" fmla="*/ 0 h 209931"/>
              <a:gd name="connsiteX6" fmla="*/ 234315 w 234315"/>
              <a:gd name="connsiteY6" fmla="*/ 209931 h 209931"/>
              <a:gd name="connsiteX7" fmla="*/ 195358 w 234315"/>
              <a:gd name="connsiteY7" fmla="*/ 209931 h 209931"/>
              <a:gd name="connsiteX8" fmla="*/ 167736 w 234315"/>
              <a:gd name="connsiteY8" fmla="*/ 146685 h 209931"/>
              <a:gd name="connsiteX9" fmla="*/ 65056 w 234315"/>
              <a:gd name="connsiteY9" fmla="*/ 146685 h 209931"/>
              <a:gd name="connsiteX10" fmla="*/ 36481 w 234315"/>
              <a:gd name="connsiteY10" fmla="*/ 209931 h 209931"/>
              <a:gd name="connsiteX11" fmla="*/ 0 w 234315"/>
              <a:gd name="connsiteY11" fmla="*/ 209931 h 209931"/>
              <a:gd name="connsiteX12" fmla="*/ 98965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639" y="123635"/>
                </a:moveTo>
                <a:lnTo>
                  <a:pt x="117348" y="31052"/>
                </a:lnTo>
                <a:lnTo>
                  <a:pt x="75438" y="123635"/>
                </a:lnTo>
                <a:lnTo>
                  <a:pt x="157639" y="123635"/>
                </a:lnTo>
                <a:close/>
                <a:moveTo>
                  <a:pt x="98965" y="0"/>
                </a:moveTo>
                <a:lnTo>
                  <a:pt x="139065" y="0"/>
                </a:lnTo>
                <a:lnTo>
                  <a:pt x="234315" y="209931"/>
                </a:lnTo>
                <a:lnTo>
                  <a:pt x="195358" y="209931"/>
                </a:lnTo>
                <a:lnTo>
                  <a:pt x="167736"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7" name="Forma Livre: Forma 16">
            <a:extLst>
              <a:ext uri="{FF2B5EF4-FFF2-40B4-BE49-F238E27FC236}">
                <a16:creationId xmlns:a16="http://schemas.microsoft.com/office/drawing/2014/main" id="{F7AEFB24-E40B-2FD7-FEDD-94C36F09755B}"/>
              </a:ext>
            </a:extLst>
          </xdr:cNvPr>
          <xdr:cNvSpPr/>
        </xdr:nvSpPr>
        <xdr:spPr>
          <a:xfrm>
            <a:off x="9811815" y="11578377"/>
            <a:ext cx="213836" cy="209835"/>
          </a:xfrm>
          <a:custGeom>
            <a:avLst/>
            <a:gdLst>
              <a:gd name="connsiteX0" fmla="*/ 115158 w 213836"/>
              <a:gd name="connsiteY0" fmla="*/ 96298 h 209835"/>
              <a:gd name="connsiteX1" fmla="*/ 153258 w 213836"/>
              <a:gd name="connsiteY1" fmla="*/ 88297 h 209835"/>
              <a:gd name="connsiteX2" fmla="*/ 167259 w 213836"/>
              <a:gd name="connsiteY2" fmla="*/ 59627 h 209835"/>
              <a:gd name="connsiteX3" fmla="*/ 147638 w 213836"/>
              <a:gd name="connsiteY3" fmla="*/ 29146 h 209835"/>
              <a:gd name="connsiteX4" fmla="*/ 119634 w 213836"/>
              <a:gd name="connsiteY4" fmla="*/ 24860 h 209835"/>
              <a:gd name="connsiteX5" fmla="*/ 35909 w 213836"/>
              <a:gd name="connsiteY5" fmla="*/ 24860 h 209835"/>
              <a:gd name="connsiteX6" fmla="*/ 35909 w 213836"/>
              <a:gd name="connsiteY6" fmla="*/ 96298 h 209835"/>
              <a:gd name="connsiteX7" fmla="*/ 115158 w 213836"/>
              <a:gd name="connsiteY7" fmla="*/ 96298 h 209835"/>
              <a:gd name="connsiteX8" fmla="*/ 0 w 213836"/>
              <a:gd name="connsiteY8" fmla="*/ 0 h 209835"/>
              <a:gd name="connsiteX9" fmla="*/ 119063 w 213836"/>
              <a:gd name="connsiteY9" fmla="*/ 0 h 209835"/>
              <a:gd name="connsiteX10" fmla="*/ 167450 w 213836"/>
              <a:gd name="connsiteY10" fmla="*/ 6953 h 209835"/>
              <a:gd name="connsiteX11" fmla="*/ 203740 w 213836"/>
              <a:gd name="connsiteY11" fmla="*/ 56674 h 209835"/>
              <a:gd name="connsiteX12" fmla="*/ 193929 w 213836"/>
              <a:gd name="connsiteY12" fmla="*/ 87439 h 209835"/>
              <a:gd name="connsiteX13" fmla="*/ 166497 w 213836"/>
              <a:gd name="connsiteY13" fmla="*/ 106775 h 209835"/>
              <a:gd name="connsiteX14" fmla="*/ 189738 w 213836"/>
              <a:gd name="connsiteY14" fmla="*/ 119920 h 209835"/>
              <a:gd name="connsiteX15" fmla="*/ 198406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49 w 213836"/>
              <a:gd name="connsiteY22" fmla="*/ 186404 h 209835"/>
              <a:gd name="connsiteX23" fmla="*/ 163544 w 213836"/>
              <a:gd name="connsiteY23" fmla="*/ 151257 h 209835"/>
              <a:gd name="connsiteX24" fmla="*/ 145066 w 213836"/>
              <a:gd name="connsiteY24" fmla="*/ 123635 h 209835"/>
              <a:gd name="connsiteX25" fmla="*/ 114205 w 213836"/>
              <a:gd name="connsiteY25" fmla="*/ 119729 h 209835"/>
              <a:gd name="connsiteX26" fmla="*/ 36005 w 213836"/>
              <a:gd name="connsiteY26" fmla="*/ 119729 h 209835"/>
              <a:gd name="connsiteX27" fmla="*/ 36005 w 213836"/>
              <a:gd name="connsiteY27" fmla="*/ 209836 h 209835"/>
              <a:gd name="connsiteX28" fmla="*/ 95 w 213836"/>
              <a:gd name="connsiteY28" fmla="*/ 209836 h 209835"/>
              <a:gd name="connsiteX29" fmla="*/ 95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158" y="96298"/>
                </a:moveTo>
                <a:cubicBezTo>
                  <a:pt x="131255" y="96298"/>
                  <a:pt x="143923" y="93631"/>
                  <a:pt x="153258" y="88297"/>
                </a:cubicBezTo>
                <a:cubicBezTo>
                  <a:pt x="162687" y="82963"/>
                  <a:pt x="167259" y="73343"/>
                  <a:pt x="167259" y="59627"/>
                </a:cubicBezTo>
                <a:cubicBezTo>
                  <a:pt x="167259" y="44672"/>
                  <a:pt x="160782" y="34480"/>
                  <a:pt x="147638" y="29146"/>
                </a:cubicBezTo>
                <a:cubicBezTo>
                  <a:pt x="140684" y="26289"/>
                  <a:pt x="131255" y="24860"/>
                  <a:pt x="119634" y="24860"/>
                </a:cubicBezTo>
                <a:lnTo>
                  <a:pt x="35909" y="24860"/>
                </a:lnTo>
                <a:lnTo>
                  <a:pt x="35909" y="96298"/>
                </a:lnTo>
                <a:lnTo>
                  <a:pt x="115158" y="96298"/>
                </a:lnTo>
                <a:close/>
                <a:moveTo>
                  <a:pt x="0" y="0"/>
                </a:moveTo>
                <a:lnTo>
                  <a:pt x="119063" y="0"/>
                </a:lnTo>
                <a:cubicBezTo>
                  <a:pt x="138684" y="0"/>
                  <a:pt x="154781" y="2286"/>
                  <a:pt x="167450" y="6953"/>
                </a:cubicBezTo>
                <a:cubicBezTo>
                  <a:pt x="191643" y="16002"/>
                  <a:pt x="203740" y="32576"/>
                  <a:pt x="203740" y="56674"/>
                </a:cubicBezTo>
                <a:cubicBezTo>
                  <a:pt x="203740" y="69247"/>
                  <a:pt x="200501" y="79438"/>
                  <a:pt x="193929" y="87439"/>
                </a:cubicBezTo>
                <a:cubicBezTo>
                  <a:pt x="187357" y="95440"/>
                  <a:pt x="178213" y="101918"/>
                  <a:pt x="166497" y="106775"/>
                </a:cubicBezTo>
                <a:cubicBezTo>
                  <a:pt x="176879" y="110109"/>
                  <a:pt x="184595" y="114395"/>
                  <a:pt x="189738" y="119920"/>
                </a:cubicBezTo>
                <a:cubicBezTo>
                  <a:pt x="194977" y="125349"/>
                  <a:pt x="197834" y="134112"/>
                  <a:pt x="198406" y="146304"/>
                </a:cubicBezTo>
                <a:lnTo>
                  <a:pt x="199930" y="174403"/>
                </a:lnTo>
                <a:cubicBezTo>
                  <a:pt x="200311" y="182404"/>
                  <a:pt x="201073" y="188404"/>
                  <a:pt x="202406" y="192214"/>
                </a:cubicBezTo>
                <a:cubicBezTo>
                  <a:pt x="204597" y="198882"/>
                  <a:pt x="208312" y="203168"/>
                  <a:pt x="213836" y="204978"/>
                </a:cubicBezTo>
                <a:lnTo>
                  <a:pt x="213836" y="209836"/>
                </a:lnTo>
                <a:lnTo>
                  <a:pt x="169831" y="209836"/>
                </a:lnTo>
                <a:cubicBezTo>
                  <a:pt x="168688" y="208026"/>
                  <a:pt x="167735" y="205740"/>
                  <a:pt x="167069" y="202787"/>
                </a:cubicBezTo>
                <a:cubicBezTo>
                  <a:pt x="166402" y="199930"/>
                  <a:pt x="165831" y="194405"/>
                  <a:pt x="165449" y="186404"/>
                </a:cubicBezTo>
                <a:lnTo>
                  <a:pt x="163544" y="151257"/>
                </a:lnTo>
                <a:cubicBezTo>
                  <a:pt x="162783" y="137446"/>
                  <a:pt x="156591" y="128302"/>
                  <a:pt x="145066" y="123635"/>
                </a:cubicBezTo>
                <a:cubicBezTo>
                  <a:pt x="138494" y="120968"/>
                  <a:pt x="128207" y="119729"/>
                  <a:pt x="114205" y="119729"/>
                </a:cubicBezTo>
                <a:lnTo>
                  <a:pt x="36005" y="119729"/>
                </a:lnTo>
                <a:lnTo>
                  <a:pt x="36005" y="209836"/>
                </a:lnTo>
                <a:lnTo>
                  <a:pt x="95" y="209836"/>
                </a:lnTo>
                <a:lnTo>
                  <a:pt x="9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8" name="Forma Livre: Forma 17">
            <a:extLst>
              <a:ext uri="{FF2B5EF4-FFF2-40B4-BE49-F238E27FC236}">
                <a16:creationId xmlns:a16="http://schemas.microsoft.com/office/drawing/2014/main" id="{7B137DBC-EC84-29D1-960B-1FCEA9EC632C}"/>
              </a:ext>
            </a:extLst>
          </xdr:cNvPr>
          <xdr:cNvSpPr/>
        </xdr:nvSpPr>
        <xdr:spPr>
          <a:xfrm>
            <a:off x="10052797" y="11578377"/>
            <a:ext cx="168497" cy="209931"/>
          </a:xfrm>
          <a:custGeom>
            <a:avLst/>
            <a:gdLst>
              <a:gd name="connsiteX0" fmla="*/ 0 w 168497"/>
              <a:gd name="connsiteY0" fmla="*/ 0 h 209931"/>
              <a:gd name="connsiteX1" fmla="*/ 166878 w 168497"/>
              <a:gd name="connsiteY1" fmla="*/ 0 h 209931"/>
              <a:gd name="connsiteX2" fmla="*/ 166878 w 168497"/>
              <a:gd name="connsiteY2" fmla="*/ 25337 h 209931"/>
              <a:gd name="connsiteX3" fmla="*/ 30004 w 168497"/>
              <a:gd name="connsiteY3" fmla="*/ 25337 h 209931"/>
              <a:gd name="connsiteX4" fmla="*/ 30004 w 168497"/>
              <a:gd name="connsiteY4" fmla="*/ 89059 h 209931"/>
              <a:gd name="connsiteX5" fmla="*/ 156496 w 168497"/>
              <a:gd name="connsiteY5" fmla="*/ 89059 h 209931"/>
              <a:gd name="connsiteX6" fmla="*/ 156496 w 168497"/>
              <a:gd name="connsiteY6" fmla="*/ 113919 h 209931"/>
              <a:gd name="connsiteX7" fmla="*/ 30004 w 168497"/>
              <a:gd name="connsiteY7" fmla="*/ 113919 h 209931"/>
              <a:gd name="connsiteX8" fmla="*/ 30004 w 168497"/>
              <a:gd name="connsiteY8" fmla="*/ 184976 h 209931"/>
              <a:gd name="connsiteX9" fmla="*/ 168497 w 168497"/>
              <a:gd name="connsiteY9" fmla="*/ 184976 h 209931"/>
              <a:gd name="connsiteX10" fmla="*/ 168497 w 168497"/>
              <a:gd name="connsiteY10" fmla="*/ 209931 h 209931"/>
              <a:gd name="connsiteX11" fmla="*/ 0 w 168497"/>
              <a:gd name="connsiteY11"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8497" h="209931">
                <a:moveTo>
                  <a:pt x="0" y="0"/>
                </a:moveTo>
                <a:lnTo>
                  <a:pt x="166878" y="0"/>
                </a:lnTo>
                <a:lnTo>
                  <a:pt x="166878" y="25337"/>
                </a:lnTo>
                <a:lnTo>
                  <a:pt x="30004" y="25337"/>
                </a:lnTo>
                <a:lnTo>
                  <a:pt x="30004" y="89059"/>
                </a:lnTo>
                <a:lnTo>
                  <a:pt x="156496" y="89059"/>
                </a:lnTo>
                <a:lnTo>
                  <a:pt x="156496" y="113919"/>
                </a:lnTo>
                <a:lnTo>
                  <a:pt x="30004" y="113919"/>
                </a:lnTo>
                <a:lnTo>
                  <a:pt x="30004" y="184976"/>
                </a:lnTo>
                <a:lnTo>
                  <a:pt x="168497" y="184976"/>
                </a:lnTo>
                <a:lnTo>
                  <a:pt x="168497"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9" name="Forma Livre: Forma 18">
            <a:extLst>
              <a:ext uri="{FF2B5EF4-FFF2-40B4-BE49-F238E27FC236}">
                <a16:creationId xmlns:a16="http://schemas.microsoft.com/office/drawing/2014/main" id="{EA0FC8D9-C9F2-798E-0E08-FCD87C5795E3}"/>
              </a:ext>
            </a:extLst>
          </xdr:cNvPr>
          <xdr:cNvSpPr/>
        </xdr:nvSpPr>
        <xdr:spPr>
          <a:xfrm>
            <a:off x="10254442" y="11578377"/>
            <a:ext cx="206120" cy="209931"/>
          </a:xfrm>
          <a:custGeom>
            <a:avLst/>
            <a:gdLst>
              <a:gd name="connsiteX0" fmla="*/ 0 w 206120"/>
              <a:gd name="connsiteY0" fmla="*/ 186404 h 209931"/>
              <a:gd name="connsiteX1" fmla="*/ 160972 w 206120"/>
              <a:gd name="connsiteY1" fmla="*/ 24860 h 209931"/>
              <a:gd name="connsiteX2" fmla="*/ 12001 w 206120"/>
              <a:gd name="connsiteY2" fmla="*/ 24860 h 209931"/>
              <a:gd name="connsiteX3" fmla="*/ 12001 w 206120"/>
              <a:gd name="connsiteY3" fmla="*/ 0 h 209931"/>
              <a:gd name="connsiteX4" fmla="*/ 206121 w 206120"/>
              <a:gd name="connsiteY4" fmla="*/ 0 h 209931"/>
              <a:gd name="connsiteX5" fmla="*/ 206121 w 206120"/>
              <a:gd name="connsiteY5" fmla="*/ 24289 h 209931"/>
              <a:gd name="connsiteX6" fmla="*/ 44672 w 206120"/>
              <a:gd name="connsiteY6" fmla="*/ 184976 h 209931"/>
              <a:gd name="connsiteX7" fmla="*/ 206121 w 206120"/>
              <a:gd name="connsiteY7" fmla="*/ 184976 h 209931"/>
              <a:gd name="connsiteX8" fmla="*/ 206121 w 206120"/>
              <a:gd name="connsiteY8" fmla="*/ 209931 h 209931"/>
              <a:gd name="connsiteX9" fmla="*/ 0 w 206120"/>
              <a:gd name="connsiteY9"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06120" h="209931">
                <a:moveTo>
                  <a:pt x="0" y="186404"/>
                </a:moveTo>
                <a:lnTo>
                  <a:pt x="160972" y="24860"/>
                </a:lnTo>
                <a:lnTo>
                  <a:pt x="12001" y="24860"/>
                </a:lnTo>
                <a:lnTo>
                  <a:pt x="12001" y="0"/>
                </a:lnTo>
                <a:lnTo>
                  <a:pt x="206121" y="0"/>
                </a:lnTo>
                <a:lnTo>
                  <a:pt x="206121" y="24289"/>
                </a:lnTo>
                <a:lnTo>
                  <a:pt x="44672" y="184976"/>
                </a:lnTo>
                <a:lnTo>
                  <a:pt x="206121" y="184976"/>
                </a:lnTo>
                <a:lnTo>
                  <a:pt x="206121"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0" name="Forma Livre: Forma 19">
            <a:extLst>
              <a:ext uri="{FF2B5EF4-FFF2-40B4-BE49-F238E27FC236}">
                <a16:creationId xmlns:a16="http://schemas.microsoft.com/office/drawing/2014/main" id="{9342BED3-1779-975F-6BD9-4306F5C60524}"/>
              </a:ext>
            </a:extLst>
          </xdr:cNvPr>
          <xdr:cNvSpPr/>
        </xdr:nvSpPr>
        <xdr:spPr>
          <a:xfrm>
            <a:off x="10590198" y="11506463"/>
            <a:ext cx="294893" cy="288607"/>
          </a:xfrm>
          <a:custGeom>
            <a:avLst/>
            <a:gdLst>
              <a:gd name="connsiteX0" fmla="*/ 150686 w 294893"/>
              <a:gd name="connsiteY0" fmla="*/ 89344 h 288607"/>
              <a:gd name="connsiteX1" fmla="*/ 164878 w 294893"/>
              <a:gd name="connsiteY1" fmla="*/ 60293 h 288607"/>
              <a:gd name="connsiteX2" fmla="*/ 154591 w 294893"/>
              <a:gd name="connsiteY2" fmla="*/ 38767 h 288607"/>
              <a:gd name="connsiteX3" fmla="*/ 126682 w 294893"/>
              <a:gd name="connsiteY3" fmla="*/ 29623 h 288607"/>
              <a:gd name="connsiteX4" fmla="*/ 89630 w 294893"/>
              <a:gd name="connsiteY4" fmla="*/ 43910 h 288607"/>
              <a:gd name="connsiteX5" fmla="*/ 84296 w 294893"/>
              <a:gd name="connsiteY5" fmla="*/ 59817 h 288607"/>
              <a:gd name="connsiteX6" fmla="*/ 92392 w 294893"/>
              <a:gd name="connsiteY6" fmla="*/ 82296 h 288607"/>
              <a:gd name="connsiteX7" fmla="*/ 119348 w 294893"/>
              <a:gd name="connsiteY7" fmla="*/ 110395 h 288607"/>
              <a:gd name="connsiteX8" fmla="*/ 150686 w 294893"/>
              <a:gd name="connsiteY8" fmla="*/ 89344 h 288607"/>
              <a:gd name="connsiteX9" fmla="*/ 154114 w 294893"/>
              <a:gd name="connsiteY9" fmla="*/ 248983 h 288607"/>
              <a:gd name="connsiteX10" fmla="*/ 183546 w 294893"/>
              <a:gd name="connsiteY10" fmla="*/ 227076 h 288607"/>
              <a:gd name="connsiteX11" fmla="*/ 103727 w 294893"/>
              <a:gd name="connsiteY11" fmla="*/ 149257 h 288607"/>
              <a:gd name="connsiteX12" fmla="*/ 59817 w 294893"/>
              <a:gd name="connsiteY12" fmla="*/ 176879 h 288607"/>
              <a:gd name="connsiteX13" fmla="*/ 44101 w 294893"/>
              <a:gd name="connsiteY13" fmla="*/ 212026 h 288607"/>
              <a:gd name="connsiteX14" fmla="*/ 64579 w 294893"/>
              <a:gd name="connsiteY14" fmla="*/ 246697 h 288607"/>
              <a:gd name="connsiteX15" fmla="*/ 108395 w 294893"/>
              <a:gd name="connsiteY15" fmla="*/ 258699 h 288607"/>
              <a:gd name="connsiteX16" fmla="*/ 154114 w 294893"/>
              <a:gd name="connsiteY16" fmla="*/ 248983 h 288607"/>
              <a:gd name="connsiteX17" fmla="*/ 49816 w 294893"/>
              <a:gd name="connsiteY17" fmla="*/ 90964 h 288607"/>
              <a:gd name="connsiteX18" fmla="*/ 42196 w 294893"/>
              <a:gd name="connsiteY18" fmla="*/ 63722 h 288607"/>
              <a:gd name="connsiteX19" fmla="*/ 65246 w 294893"/>
              <a:gd name="connsiteY19" fmla="*/ 18193 h 288607"/>
              <a:gd name="connsiteX20" fmla="*/ 127063 w 294893"/>
              <a:gd name="connsiteY20" fmla="*/ 0 h 288607"/>
              <a:gd name="connsiteX21" fmla="*/ 184499 w 294893"/>
              <a:gd name="connsiteY21" fmla="*/ 16859 h 288607"/>
              <a:gd name="connsiteX22" fmla="*/ 205264 w 294893"/>
              <a:gd name="connsiteY22" fmla="*/ 57150 h 288607"/>
              <a:gd name="connsiteX23" fmla="*/ 183832 w 294893"/>
              <a:gd name="connsiteY23" fmla="*/ 104965 h 288607"/>
              <a:gd name="connsiteX24" fmla="*/ 142018 w 294893"/>
              <a:gd name="connsiteY24" fmla="*/ 132588 h 288607"/>
              <a:gd name="connsiteX25" fmla="*/ 206407 w 294893"/>
              <a:gd name="connsiteY25" fmla="*/ 194024 h 288607"/>
              <a:gd name="connsiteX26" fmla="*/ 214693 w 294893"/>
              <a:gd name="connsiteY26" fmla="*/ 170974 h 288607"/>
              <a:gd name="connsiteX27" fmla="*/ 219456 w 294893"/>
              <a:gd name="connsiteY27" fmla="*/ 149542 h 288607"/>
              <a:gd name="connsiteX28" fmla="*/ 261651 w 294893"/>
              <a:gd name="connsiteY28" fmla="*/ 149542 h 288607"/>
              <a:gd name="connsiteX29" fmla="*/ 245269 w 294893"/>
              <a:gd name="connsiteY29" fmla="*/ 201739 h 288607"/>
              <a:gd name="connsiteX30" fmla="*/ 233076 w 294893"/>
              <a:gd name="connsiteY30" fmla="*/ 221837 h 288607"/>
              <a:gd name="connsiteX31" fmla="*/ 294894 w 294893"/>
              <a:gd name="connsiteY31" fmla="*/ 281940 h 288607"/>
              <a:gd name="connsiteX32" fmla="*/ 240030 w 294893"/>
              <a:gd name="connsiteY32" fmla="*/ 281940 h 288607"/>
              <a:gd name="connsiteX33" fmla="*/ 206883 w 294893"/>
              <a:gd name="connsiteY33" fmla="*/ 250412 h 288607"/>
              <a:gd name="connsiteX34" fmla="*/ 170783 w 294893"/>
              <a:gd name="connsiteY34" fmla="*/ 274987 h 288607"/>
              <a:gd name="connsiteX35" fmla="*/ 104965 w 294893"/>
              <a:gd name="connsiteY35" fmla="*/ 288607 h 288607"/>
              <a:gd name="connsiteX36" fmla="*/ 24860 w 294893"/>
              <a:gd name="connsiteY36" fmla="*/ 264890 h 288607"/>
              <a:gd name="connsiteX37" fmla="*/ 0 w 294893"/>
              <a:gd name="connsiteY37" fmla="*/ 211741 h 288607"/>
              <a:gd name="connsiteX38" fmla="*/ 24289 w 294893"/>
              <a:gd name="connsiteY38" fmla="*/ 158401 h 288607"/>
              <a:gd name="connsiteX39" fmla="*/ 79724 w 294893"/>
              <a:gd name="connsiteY39" fmla="*/ 125825 h 288607"/>
              <a:gd name="connsiteX40" fmla="*/ 49816 w 294893"/>
              <a:gd name="connsiteY40" fmla="*/ 90964 h 2886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294893" h="288607">
                <a:moveTo>
                  <a:pt x="150686" y="89344"/>
                </a:moveTo>
                <a:cubicBezTo>
                  <a:pt x="160115" y="80486"/>
                  <a:pt x="164878" y="70866"/>
                  <a:pt x="164878" y="60293"/>
                </a:cubicBezTo>
                <a:cubicBezTo>
                  <a:pt x="164878" y="51911"/>
                  <a:pt x="161544" y="44767"/>
                  <a:pt x="154591" y="38767"/>
                </a:cubicBezTo>
                <a:cubicBezTo>
                  <a:pt x="147732" y="32671"/>
                  <a:pt x="138398" y="29623"/>
                  <a:pt x="126682" y="29623"/>
                </a:cubicBezTo>
                <a:cubicBezTo>
                  <a:pt x="108871" y="29623"/>
                  <a:pt x="96583" y="34385"/>
                  <a:pt x="89630" y="43910"/>
                </a:cubicBezTo>
                <a:cubicBezTo>
                  <a:pt x="86106" y="48673"/>
                  <a:pt x="84296" y="54007"/>
                  <a:pt x="84296" y="59817"/>
                </a:cubicBezTo>
                <a:cubicBezTo>
                  <a:pt x="84296" y="67627"/>
                  <a:pt x="86963" y="75247"/>
                  <a:pt x="92392" y="82296"/>
                </a:cubicBezTo>
                <a:cubicBezTo>
                  <a:pt x="97821" y="89440"/>
                  <a:pt x="106775" y="98774"/>
                  <a:pt x="119348" y="110395"/>
                </a:cubicBezTo>
                <a:cubicBezTo>
                  <a:pt x="134588" y="101632"/>
                  <a:pt x="144970" y="94679"/>
                  <a:pt x="150686" y="89344"/>
                </a:cubicBezTo>
                <a:moveTo>
                  <a:pt x="154114" y="248983"/>
                </a:moveTo>
                <a:cubicBezTo>
                  <a:pt x="166878" y="242506"/>
                  <a:pt x="176689" y="235172"/>
                  <a:pt x="183546" y="227076"/>
                </a:cubicBezTo>
                <a:lnTo>
                  <a:pt x="103727" y="149257"/>
                </a:lnTo>
                <a:cubicBezTo>
                  <a:pt x="81343" y="161258"/>
                  <a:pt x="66675" y="170497"/>
                  <a:pt x="59817" y="176879"/>
                </a:cubicBezTo>
                <a:cubicBezTo>
                  <a:pt x="49244" y="186499"/>
                  <a:pt x="44101" y="198215"/>
                  <a:pt x="44101" y="212026"/>
                </a:cubicBezTo>
                <a:cubicBezTo>
                  <a:pt x="44101" y="226981"/>
                  <a:pt x="50863" y="238601"/>
                  <a:pt x="64579" y="246697"/>
                </a:cubicBezTo>
                <a:cubicBezTo>
                  <a:pt x="78200" y="254698"/>
                  <a:pt x="92869" y="258699"/>
                  <a:pt x="108395" y="258699"/>
                </a:cubicBezTo>
                <a:cubicBezTo>
                  <a:pt x="126111" y="258699"/>
                  <a:pt x="141351" y="255556"/>
                  <a:pt x="154114" y="248983"/>
                </a:cubicBezTo>
                <a:moveTo>
                  <a:pt x="49816" y="90964"/>
                </a:moveTo>
                <a:cubicBezTo>
                  <a:pt x="44767" y="81534"/>
                  <a:pt x="42196" y="72390"/>
                  <a:pt x="42196" y="63722"/>
                </a:cubicBezTo>
                <a:cubicBezTo>
                  <a:pt x="42196" y="45529"/>
                  <a:pt x="49911" y="30289"/>
                  <a:pt x="65246" y="18193"/>
                </a:cubicBezTo>
                <a:cubicBezTo>
                  <a:pt x="80581" y="6001"/>
                  <a:pt x="101251" y="0"/>
                  <a:pt x="127063" y="0"/>
                </a:cubicBezTo>
                <a:cubicBezTo>
                  <a:pt x="151543" y="0"/>
                  <a:pt x="170688" y="5620"/>
                  <a:pt x="184499" y="16859"/>
                </a:cubicBezTo>
                <a:cubicBezTo>
                  <a:pt x="198311" y="28099"/>
                  <a:pt x="205264" y="41624"/>
                  <a:pt x="205264" y="57150"/>
                </a:cubicBezTo>
                <a:cubicBezTo>
                  <a:pt x="205264" y="75343"/>
                  <a:pt x="198120" y="91154"/>
                  <a:pt x="183832" y="104965"/>
                </a:cubicBezTo>
                <a:cubicBezTo>
                  <a:pt x="175450" y="112871"/>
                  <a:pt x="161639" y="122015"/>
                  <a:pt x="142018" y="132588"/>
                </a:cubicBezTo>
                <a:lnTo>
                  <a:pt x="206407" y="194024"/>
                </a:lnTo>
                <a:cubicBezTo>
                  <a:pt x="210407" y="183737"/>
                  <a:pt x="213074" y="176022"/>
                  <a:pt x="214693" y="170974"/>
                </a:cubicBezTo>
                <a:cubicBezTo>
                  <a:pt x="216312" y="165830"/>
                  <a:pt x="217837" y="158782"/>
                  <a:pt x="219456" y="149542"/>
                </a:cubicBezTo>
                <a:lnTo>
                  <a:pt x="261651" y="149542"/>
                </a:lnTo>
                <a:cubicBezTo>
                  <a:pt x="258985" y="167735"/>
                  <a:pt x="253555" y="185071"/>
                  <a:pt x="245269" y="201739"/>
                </a:cubicBezTo>
                <a:cubicBezTo>
                  <a:pt x="237077" y="218313"/>
                  <a:pt x="233076" y="224980"/>
                  <a:pt x="233076" y="221837"/>
                </a:cubicBezTo>
                <a:lnTo>
                  <a:pt x="294894" y="281940"/>
                </a:lnTo>
                <a:lnTo>
                  <a:pt x="240030" y="281940"/>
                </a:lnTo>
                <a:lnTo>
                  <a:pt x="206883" y="250412"/>
                </a:lnTo>
                <a:cubicBezTo>
                  <a:pt x="193738" y="261652"/>
                  <a:pt x="181737" y="269843"/>
                  <a:pt x="170783" y="274987"/>
                </a:cubicBezTo>
                <a:cubicBezTo>
                  <a:pt x="151733" y="284131"/>
                  <a:pt x="129826" y="288607"/>
                  <a:pt x="104965" y="288607"/>
                </a:cubicBezTo>
                <a:cubicBezTo>
                  <a:pt x="68199" y="288607"/>
                  <a:pt x="41624" y="280702"/>
                  <a:pt x="24860" y="264890"/>
                </a:cubicBezTo>
                <a:cubicBezTo>
                  <a:pt x="8287" y="249079"/>
                  <a:pt x="0" y="231362"/>
                  <a:pt x="0" y="211741"/>
                </a:cubicBezTo>
                <a:cubicBezTo>
                  <a:pt x="0" y="190309"/>
                  <a:pt x="8001" y="172593"/>
                  <a:pt x="24289" y="158401"/>
                </a:cubicBezTo>
                <a:cubicBezTo>
                  <a:pt x="34194" y="149828"/>
                  <a:pt x="52673" y="138874"/>
                  <a:pt x="79724" y="125825"/>
                </a:cubicBezTo>
                <a:cubicBezTo>
                  <a:pt x="64865" y="112014"/>
                  <a:pt x="54864" y="100393"/>
                  <a:pt x="49816" y="90964"/>
                </a:cubicBezTo>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1" name="Forma Livre: Forma 20">
            <a:extLst>
              <a:ext uri="{FF2B5EF4-FFF2-40B4-BE49-F238E27FC236}">
                <a16:creationId xmlns:a16="http://schemas.microsoft.com/office/drawing/2014/main" id="{B442E38B-B522-CF97-6AD8-33A04488591B}"/>
              </a:ext>
            </a:extLst>
          </xdr:cNvPr>
          <xdr:cNvSpPr/>
        </xdr:nvSpPr>
        <xdr:spPr>
          <a:xfrm>
            <a:off x="11003964" y="11505511"/>
            <a:ext cx="338422" cy="282797"/>
          </a:xfrm>
          <a:custGeom>
            <a:avLst/>
            <a:gdLst>
              <a:gd name="connsiteX0" fmla="*/ 95 w 338422"/>
              <a:gd name="connsiteY0" fmla="*/ 0 h 282797"/>
              <a:gd name="connsiteX1" fmla="*/ 68008 w 338422"/>
              <a:gd name="connsiteY1" fmla="*/ 0 h 282797"/>
              <a:gd name="connsiteX2" fmla="*/ 169354 w 338422"/>
              <a:gd name="connsiteY2" fmla="*/ 239078 h 282797"/>
              <a:gd name="connsiteX3" fmla="*/ 270891 w 338422"/>
              <a:gd name="connsiteY3" fmla="*/ 0 h 282797"/>
              <a:gd name="connsiteX4" fmla="*/ 338423 w 338422"/>
              <a:gd name="connsiteY4" fmla="*/ 0 h 282797"/>
              <a:gd name="connsiteX5" fmla="*/ 338423 w 338422"/>
              <a:gd name="connsiteY5" fmla="*/ 282797 h 282797"/>
              <a:gd name="connsiteX6" fmla="*/ 293370 w 338422"/>
              <a:gd name="connsiteY6" fmla="*/ 282797 h 282797"/>
              <a:gd name="connsiteX7" fmla="*/ 293370 w 338422"/>
              <a:gd name="connsiteY7" fmla="*/ 115729 h 282797"/>
              <a:gd name="connsiteX8" fmla="*/ 294418 w 338422"/>
              <a:gd name="connsiteY8" fmla="*/ 87058 h 282797"/>
              <a:gd name="connsiteX9" fmla="*/ 295275 w 338422"/>
              <a:gd name="connsiteY9" fmla="*/ 44101 h 282797"/>
              <a:gd name="connsiteX10" fmla="*/ 192786 w 338422"/>
              <a:gd name="connsiteY10" fmla="*/ 282797 h 282797"/>
              <a:gd name="connsiteX11" fmla="*/ 145256 w 338422"/>
              <a:gd name="connsiteY11" fmla="*/ 282797 h 282797"/>
              <a:gd name="connsiteX12" fmla="*/ 43148 w 338422"/>
              <a:gd name="connsiteY12" fmla="*/ 44101 h 282797"/>
              <a:gd name="connsiteX13" fmla="*/ 43148 w 338422"/>
              <a:gd name="connsiteY13" fmla="*/ 52864 h 282797"/>
              <a:gd name="connsiteX14" fmla="*/ 44101 w 338422"/>
              <a:gd name="connsiteY14" fmla="*/ 84582 h 282797"/>
              <a:gd name="connsiteX15" fmla="*/ 45053 w 338422"/>
              <a:gd name="connsiteY15" fmla="*/ 115729 h 282797"/>
              <a:gd name="connsiteX16" fmla="*/ 45053 w 338422"/>
              <a:gd name="connsiteY16" fmla="*/ 282797 h 282797"/>
              <a:gd name="connsiteX17" fmla="*/ 0 w 338422"/>
              <a:gd name="connsiteY17" fmla="*/ 282797 h 282797"/>
              <a:gd name="connsiteX18" fmla="*/ 0 w 338422"/>
              <a:gd name="connsiteY18"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338422" h="282797">
                <a:moveTo>
                  <a:pt x="95" y="0"/>
                </a:moveTo>
                <a:lnTo>
                  <a:pt x="68008" y="0"/>
                </a:lnTo>
                <a:lnTo>
                  <a:pt x="169354" y="239078"/>
                </a:lnTo>
                <a:lnTo>
                  <a:pt x="270891" y="0"/>
                </a:lnTo>
                <a:lnTo>
                  <a:pt x="338423" y="0"/>
                </a:lnTo>
                <a:lnTo>
                  <a:pt x="338423" y="282797"/>
                </a:lnTo>
                <a:lnTo>
                  <a:pt x="293370" y="282797"/>
                </a:lnTo>
                <a:lnTo>
                  <a:pt x="293370" y="115729"/>
                </a:lnTo>
                <a:cubicBezTo>
                  <a:pt x="293370" y="110014"/>
                  <a:pt x="293751" y="100394"/>
                  <a:pt x="294418" y="87058"/>
                </a:cubicBezTo>
                <a:cubicBezTo>
                  <a:pt x="294989" y="73723"/>
                  <a:pt x="295275" y="59341"/>
                  <a:pt x="295275" y="44101"/>
                </a:cubicBezTo>
                <a:lnTo>
                  <a:pt x="192786" y="282797"/>
                </a:lnTo>
                <a:lnTo>
                  <a:pt x="145256" y="282797"/>
                </a:lnTo>
                <a:lnTo>
                  <a:pt x="43148" y="44101"/>
                </a:lnTo>
                <a:lnTo>
                  <a:pt x="43148" y="52864"/>
                </a:lnTo>
                <a:cubicBezTo>
                  <a:pt x="43148" y="59722"/>
                  <a:pt x="43529" y="70295"/>
                  <a:pt x="44101" y="84582"/>
                </a:cubicBezTo>
                <a:cubicBezTo>
                  <a:pt x="44767" y="98774"/>
                  <a:pt x="45053" y="109156"/>
                  <a:pt x="45053" y="115729"/>
                </a:cubicBezTo>
                <a:lnTo>
                  <a:pt x="45053" y="282797"/>
                </a:lnTo>
                <a:lnTo>
                  <a:pt x="0" y="282797"/>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2" name="Forma Livre: Forma 21">
            <a:extLst>
              <a:ext uri="{FF2B5EF4-FFF2-40B4-BE49-F238E27FC236}">
                <a16:creationId xmlns:a16="http://schemas.microsoft.com/office/drawing/2014/main" id="{1A1BF0E8-6373-2282-E4E6-4927673C608C}"/>
              </a:ext>
            </a:extLst>
          </xdr:cNvPr>
          <xdr:cNvSpPr/>
        </xdr:nvSpPr>
        <xdr:spPr>
          <a:xfrm>
            <a:off x="11369914" y="11578377"/>
            <a:ext cx="234314" cy="209931"/>
          </a:xfrm>
          <a:custGeom>
            <a:avLst/>
            <a:gdLst>
              <a:gd name="connsiteX0" fmla="*/ 157829 w 234314"/>
              <a:gd name="connsiteY0" fmla="*/ 123635 h 209931"/>
              <a:gd name="connsiteX1" fmla="*/ 117443 w 234314"/>
              <a:gd name="connsiteY1" fmla="*/ 31052 h 209931"/>
              <a:gd name="connsiteX2" fmla="*/ 75533 w 234314"/>
              <a:gd name="connsiteY2" fmla="*/ 123635 h 209931"/>
              <a:gd name="connsiteX3" fmla="*/ 157829 w 234314"/>
              <a:gd name="connsiteY3" fmla="*/ 123635 h 209931"/>
              <a:gd name="connsiteX4" fmla="*/ 98965 w 234314"/>
              <a:gd name="connsiteY4" fmla="*/ 0 h 209931"/>
              <a:gd name="connsiteX5" fmla="*/ 139065 w 234314"/>
              <a:gd name="connsiteY5" fmla="*/ 0 h 209931"/>
              <a:gd name="connsiteX6" fmla="*/ 234315 w 234314"/>
              <a:gd name="connsiteY6" fmla="*/ 209931 h 209931"/>
              <a:gd name="connsiteX7" fmla="*/ 195358 w 234314"/>
              <a:gd name="connsiteY7" fmla="*/ 209931 h 209931"/>
              <a:gd name="connsiteX8" fmla="*/ 167830 w 234314"/>
              <a:gd name="connsiteY8" fmla="*/ 146685 h 209931"/>
              <a:gd name="connsiteX9" fmla="*/ 65056 w 234314"/>
              <a:gd name="connsiteY9" fmla="*/ 146685 h 209931"/>
              <a:gd name="connsiteX10" fmla="*/ 36481 w 234314"/>
              <a:gd name="connsiteY10" fmla="*/ 209931 h 209931"/>
              <a:gd name="connsiteX11" fmla="*/ 0 w 234314"/>
              <a:gd name="connsiteY11" fmla="*/ 209931 h 209931"/>
              <a:gd name="connsiteX12" fmla="*/ 98965 w 234314"/>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4" h="209931">
                <a:moveTo>
                  <a:pt x="157829" y="123635"/>
                </a:moveTo>
                <a:lnTo>
                  <a:pt x="117443" y="31052"/>
                </a:lnTo>
                <a:lnTo>
                  <a:pt x="75533" y="123635"/>
                </a:lnTo>
                <a:lnTo>
                  <a:pt x="157829" y="123635"/>
                </a:lnTo>
                <a:close/>
                <a:moveTo>
                  <a:pt x="98965" y="0"/>
                </a:moveTo>
                <a:lnTo>
                  <a:pt x="139065" y="0"/>
                </a:lnTo>
                <a:lnTo>
                  <a:pt x="234315" y="209931"/>
                </a:lnTo>
                <a:lnTo>
                  <a:pt x="195358" y="209931"/>
                </a:lnTo>
                <a:lnTo>
                  <a:pt x="167830"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3" name="Forma Livre: Forma 22">
            <a:extLst>
              <a:ext uri="{FF2B5EF4-FFF2-40B4-BE49-F238E27FC236}">
                <a16:creationId xmlns:a16="http://schemas.microsoft.com/office/drawing/2014/main" id="{4A9D21E5-897D-689A-E391-5E8F2DE00A07}"/>
              </a:ext>
            </a:extLst>
          </xdr:cNvPr>
          <xdr:cNvSpPr/>
        </xdr:nvSpPr>
        <xdr:spPr>
          <a:xfrm>
            <a:off x="11635090" y="11578377"/>
            <a:ext cx="213836" cy="209835"/>
          </a:xfrm>
          <a:custGeom>
            <a:avLst/>
            <a:gdLst>
              <a:gd name="connsiteX0" fmla="*/ 115253 w 213836"/>
              <a:gd name="connsiteY0" fmla="*/ 96298 h 209835"/>
              <a:gd name="connsiteX1" fmla="*/ 153448 w 213836"/>
              <a:gd name="connsiteY1" fmla="*/ 88297 h 209835"/>
              <a:gd name="connsiteX2" fmla="*/ 167450 w 213836"/>
              <a:gd name="connsiteY2" fmla="*/ 59627 h 209835"/>
              <a:gd name="connsiteX3" fmla="*/ 147828 w 213836"/>
              <a:gd name="connsiteY3" fmla="*/ 29146 h 209835"/>
              <a:gd name="connsiteX4" fmla="*/ 119825 w 213836"/>
              <a:gd name="connsiteY4" fmla="*/ 24860 h 209835"/>
              <a:gd name="connsiteX5" fmla="*/ 36005 w 213836"/>
              <a:gd name="connsiteY5" fmla="*/ 24860 h 209835"/>
              <a:gd name="connsiteX6" fmla="*/ 36005 w 213836"/>
              <a:gd name="connsiteY6" fmla="*/ 96298 h 209835"/>
              <a:gd name="connsiteX7" fmla="*/ 115253 w 213836"/>
              <a:gd name="connsiteY7" fmla="*/ 96298 h 209835"/>
              <a:gd name="connsiteX8" fmla="*/ 95 w 213836"/>
              <a:gd name="connsiteY8" fmla="*/ 0 h 209835"/>
              <a:gd name="connsiteX9" fmla="*/ 119158 w 213836"/>
              <a:gd name="connsiteY9" fmla="*/ 0 h 209835"/>
              <a:gd name="connsiteX10" fmla="*/ 167640 w 213836"/>
              <a:gd name="connsiteY10" fmla="*/ 6953 h 209835"/>
              <a:gd name="connsiteX11" fmla="*/ 203835 w 213836"/>
              <a:gd name="connsiteY11" fmla="*/ 56674 h 209835"/>
              <a:gd name="connsiteX12" fmla="*/ 194025 w 213836"/>
              <a:gd name="connsiteY12" fmla="*/ 87439 h 209835"/>
              <a:gd name="connsiteX13" fmla="*/ 166593 w 213836"/>
              <a:gd name="connsiteY13" fmla="*/ 106775 h 209835"/>
              <a:gd name="connsiteX14" fmla="*/ 189738 w 213836"/>
              <a:gd name="connsiteY14" fmla="*/ 119920 h 209835"/>
              <a:gd name="connsiteX15" fmla="*/ 198501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50 w 213836"/>
              <a:gd name="connsiteY22" fmla="*/ 186404 h 209835"/>
              <a:gd name="connsiteX23" fmla="*/ 163545 w 213836"/>
              <a:gd name="connsiteY23" fmla="*/ 151257 h 209835"/>
              <a:gd name="connsiteX24" fmla="*/ 145066 w 213836"/>
              <a:gd name="connsiteY24" fmla="*/ 123635 h 209835"/>
              <a:gd name="connsiteX25" fmla="*/ 114110 w 213836"/>
              <a:gd name="connsiteY25" fmla="*/ 119729 h 209835"/>
              <a:gd name="connsiteX26" fmla="*/ 35909 w 213836"/>
              <a:gd name="connsiteY26" fmla="*/ 119729 h 209835"/>
              <a:gd name="connsiteX27" fmla="*/ 35909 w 213836"/>
              <a:gd name="connsiteY27" fmla="*/ 209836 h 209835"/>
              <a:gd name="connsiteX28" fmla="*/ 0 w 213836"/>
              <a:gd name="connsiteY28" fmla="*/ 209836 h 209835"/>
              <a:gd name="connsiteX29" fmla="*/ 0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253" y="96298"/>
                </a:moveTo>
                <a:cubicBezTo>
                  <a:pt x="131350" y="96298"/>
                  <a:pt x="144019" y="93631"/>
                  <a:pt x="153448" y="88297"/>
                </a:cubicBezTo>
                <a:cubicBezTo>
                  <a:pt x="162783" y="82963"/>
                  <a:pt x="167450" y="73343"/>
                  <a:pt x="167450" y="59627"/>
                </a:cubicBezTo>
                <a:cubicBezTo>
                  <a:pt x="167450" y="44672"/>
                  <a:pt x="160877" y="34480"/>
                  <a:pt x="147828" y="29146"/>
                </a:cubicBezTo>
                <a:cubicBezTo>
                  <a:pt x="140875" y="26289"/>
                  <a:pt x="131445" y="24860"/>
                  <a:pt x="119825" y="24860"/>
                </a:cubicBezTo>
                <a:lnTo>
                  <a:pt x="36005" y="24860"/>
                </a:lnTo>
                <a:lnTo>
                  <a:pt x="36005" y="96298"/>
                </a:lnTo>
                <a:lnTo>
                  <a:pt x="115253" y="96298"/>
                </a:lnTo>
                <a:close/>
                <a:moveTo>
                  <a:pt x="95" y="0"/>
                </a:moveTo>
                <a:lnTo>
                  <a:pt x="119158" y="0"/>
                </a:lnTo>
                <a:cubicBezTo>
                  <a:pt x="138779" y="0"/>
                  <a:pt x="154972" y="2286"/>
                  <a:pt x="167640" y="6953"/>
                </a:cubicBezTo>
                <a:cubicBezTo>
                  <a:pt x="191834" y="16002"/>
                  <a:pt x="203835" y="32576"/>
                  <a:pt x="203835" y="56674"/>
                </a:cubicBezTo>
                <a:cubicBezTo>
                  <a:pt x="203835" y="69247"/>
                  <a:pt x="200596" y="79438"/>
                  <a:pt x="194025" y="87439"/>
                </a:cubicBezTo>
                <a:cubicBezTo>
                  <a:pt x="187453" y="95440"/>
                  <a:pt x="178308" y="101918"/>
                  <a:pt x="166593" y="106775"/>
                </a:cubicBezTo>
                <a:cubicBezTo>
                  <a:pt x="176879" y="110109"/>
                  <a:pt x="184595" y="114395"/>
                  <a:pt x="189738" y="119920"/>
                </a:cubicBezTo>
                <a:cubicBezTo>
                  <a:pt x="194977" y="125349"/>
                  <a:pt x="197834" y="134112"/>
                  <a:pt x="198501" y="146304"/>
                </a:cubicBezTo>
                <a:lnTo>
                  <a:pt x="199930" y="174403"/>
                </a:lnTo>
                <a:cubicBezTo>
                  <a:pt x="200311" y="182404"/>
                  <a:pt x="201073" y="188404"/>
                  <a:pt x="202406" y="192214"/>
                </a:cubicBezTo>
                <a:cubicBezTo>
                  <a:pt x="204597" y="198882"/>
                  <a:pt x="208407" y="203168"/>
                  <a:pt x="213836" y="204978"/>
                </a:cubicBezTo>
                <a:lnTo>
                  <a:pt x="213836" y="209836"/>
                </a:lnTo>
                <a:lnTo>
                  <a:pt x="169831" y="209836"/>
                </a:lnTo>
                <a:cubicBezTo>
                  <a:pt x="168688" y="208026"/>
                  <a:pt x="167736" y="205740"/>
                  <a:pt x="167069" y="202787"/>
                </a:cubicBezTo>
                <a:cubicBezTo>
                  <a:pt x="166497" y="199930"/>
                  <a:pt x="165831" y="194405"/>
                  <a:pt x="165450" y="186404"/>
                </a:cubicBezTo>
                <a:lnTo>
                  <a:pt x="163545" y="151257"/>
                </a:lnTo>
                <a:cubicBezTo>
                  <a:pt x="162687" y="137446"/>
                  <a:pt x="156591" y="128302"/>
                  <a:pt x="145066" y="123635"/>
                </a:cubicBezTo>
                <a:cubicBezTo>
                  <a:pt x="138494" y="120968"/>
                  <a:pt x="128207" y="119729"/>
                  <a:pt x="114110" y="119729"/>
                </a:cubicBezTo>
                <a:lnTo>
                  <a:pt x="35909" y="119729"/>
                </a:lnTo>
                <a:lnTo>
                  <a:pt x="35909" y="209836"/>
                </a:lnTo>
                <a:lnTo>
                  <a:pt x="0" y="209836"/>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4" name="Forma Livre: Forma 23">
            <a:extLst>
              <a:ext uri="{FF2B5EF4-FFF2-40B4-BE49-F238E27FC236}">
                <a16:creationId xmlns:a16="http://schemas.microsoft.com/office/drawing/2014/main" id="{F262B1ED-156C-9ACF-B082-191B9891B4C1}"/>
              </a:ext>
            </a:extLst>
          </xdr:cNvPr>
          <xdr:cNvSpPr/>
        </xdr:nvSpPr>
        <xdr:spPr>
          <a:xfrm>
            <a:off x="11870161" y="11573614"/>
            <a:ext cx="203841" cy="220789"/>
          </a:xfrm>
          <a:custGeom>
            <a:avLst/>
            <a:gdLst>
              <a:gd name="connsiteX0" fmla="*/ 33725 w 203841"/>
              <a:gd name="connsiteY0" fmla="*/ 146971 h 220789"/>
              <a:gd name="connsiteX1" fmla="*/ 43822 w 203841"/>
              <a:gd name="connsiteY1" fmla="*/ 176022 h 220789"/>
              <a:gd name="connsiteX2" fmla="*/ 103638 w 203841"/>
              <a:gd name="connsiteY2" fmla="*/ 196977 h 220789"/>
              <a:gd name="connsiteX3" fmla="*/ 138691 w 203841"/>
              <a:gd name="connsiteY3" fmla="*/ 192310 h 220789"/>
              <a:gd name="connsiteX4" fmla="*/ 169266 w 203841"/>
              <a:gd name="connsiteY4" fmla="*/ 160782 h 220789"/>
              <a:gd name="connsiteX5" fmla="*/ 156216 w 203841"/>
              <a:gd name="connsiteY5" fmla="*/ 136303 h 220789"/>
              <a:gd name="connsiteX6" fmla="*/ 115068 w 203841"/>
              <a:gd name="connsiteY6" fmla="*/ 123920 h 220789"/>
              <a:gd name="connsiteX7" fmla="*/ 80493 w 203841"/>
              <a:gd name="connsiteY7" fmla="*/ 117538 h 220789"/>
              <a:gd name="connsiteX8" fmla="*/ 32868 w 203841"/>
              <a:gd name="connsiteY8" fmla="*/ 103727 h 220789"/>
              <a:gd name="connsiteX9" fmla="*/ 8674 w 203841"/>
              <a:gd name="connsiteY9" fmla="*/ 64484 h 220789"/>
              <a:gd name="connsiteX10" fmla="*/ 32487 w 203841"/>
              <a:gd name="connsiteY10" fmla="*/ 18097 h 220789"/>
              <a:gd name="connsiteX11" fmla="*/ 99924 w 203841"/>
              <a:gd name="connsiteY11" fmla="*/ 0 h 220789"/>
              <a:gd name="connsiteX12" fmla="*/ 168123 w 203841"/>
              <a:gd name="connsiteY12" fmla="*/ 15907 h 220789"/>
              <a:gd name="connsiteX13" fmla="*/ 196126 w 203841"/>
              <a:gd name="connsiteY13" fmla="*/ 66675 h 220789"/>
              <a:gd name="connsiteX14" fmla="*/ 162503 w 203841"/>
              <a:gd name="connsiteY14" fmla="*/ 66675 h 220789"/>
              <a:gd name="connsiteX15" fmla="*/ 151549 w 203841"/>
              <a:gd name="connsiteY15" fmla="*/ 40862 h 220789"/>
              <a:gd name="connsiteX16" fmla="*/ 98781 w 203841"/>
              <a:gd name="connsiteY16" fmla="*/ 24479 h 220789"/>
              <a:gd name="connsiteX17" fmla="*/ 55442 w 203841"/>
              <a:gd name="connsiteY17" fmla="*/ 35052 h 220789"/>
              <a:gd name="connsiteX18" fmla="*/ 42298 w 203841"/>
              <a:gd name="connsiteY18" fmla="*/ 59627 h 220789"/>
              <a:gd name="connsiteX19" fmla="*/ 57823 w 203841"/>
              <a:gd name="connsiteY19" fmla="*/ 82105 h 220789"/>
              <a:gd name="connsiteX20" fmla="*/ 104020 w 203841"/>
              <a:gd name="connsiteY20" fmla="*/ 93536 h 220789"/>
              <a:gd name="connsiteX21" fmla="*/ 139643 w 203841"/>
              <a:gd name="connsiteY21" fmla="*/ 100013 h 220789"/>
              <a:gd name="connsiteX22" fmla="*/ 179553 w 203841"/>
              <a:gd name="connsiteY22" fmla="*/ 113538 h 220789"/>
              <a:gd name="connsiteX23" fmla="*/ 203841 w 203841"/>
              <a:gd name="connsiteY23" fmla="*/ 156020 h 220789"/>
              <a:gd name="connsiteX24" fmla="*/ 172981 w 203841"/>
              <a:gd name="connsiteY24" fmla="*/ 205835 h 220789"/>
              <a:gd name="connsiteX25" fmla="*/ 101162 w 203841"/>
              <a:gd name="connsiteY25" fmla="*/ 220789 h 220789"/>
              <a:gd name="connsiteX26" fmla="*/ 26486 w 203841"/>
              <a:gd name="connsiteY26" fmla="*/ 200787 h 220789"/>
              <a:gd name="connsiteX27" fmla="*/ 7 w 203841"/>
              <a:gd name="connsiteY27" fmla="*/ 146971 h 220789"/>
              <a:gd name="connsiteX28" fmla="*/ 33725 w 203841"/>
              <a:gd name="connsiteY28" fmla="*/ 146971 h 2207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203841" h="220789">
                <a:moveTo>
                  <a:pt x="33725" y="146971"/>
                </a:moveTo>
                <a:cubicBezTo>
                  <a:pt x="34392" y="158972"/>
                  <a:pt x="37916" y="168593"/>
                  <a:pt x="43822" y="176022"/>
                </a:cubicBezTo>
                <a:cubicBezTo>
                  <a:pt x="55156" y="189929"/>
                  <a:pt x="75159" y="196977"/>
                  <a:pt x="103638" y="196977"/>
                </a:cubicBezTo>
                <a:cubicBezTo>
                  <a:pt x="116497" y="196977"/>
                  <a:pt x="128118" y="195453"/>
                  <a:pt x="138691" y="192310"/>
                </a:cubicBezTo>
                <a:cubicBezTo>
                  <a:pt x="159074" y="186595"/>
                  <a:pt x="169266" y="176022"/>
                  <a:pt x="169266" y="160782"/>
                </a:cubicBezTo>
                <a:cubicBezTo>
                  <a:pt x="169266" y="149352"/>
                  <a:pt x="164885" y="141161"/>
                  <a:pt x="156216" y="136303"/>
                </a:cubicBezTo>
                <a:cubicBezTo>
                  <a:pt x="147454" y="131540"/>
                  <a:pt x="133833" y="127445"/>
                  <a:pt x="115068" y="123920"/>
                </a:cubicBezTo>
                <a:lnTo>
                  <a:pt x="80493" y="117538"/>
                </a:lnTo>
                <a:cubicBezTo>
                  <a:pt x="58014" y="113347"/>
                  <a:pt x="42107" y="108776"/>
                  <a:pt x="32868" y="103727"/>
                </a:cubicBezTo>
                <a:cubicBezTo>
                  <a:pt x="16676" y="94964"/>
                  <a:pt x="8674" y="81820"/>
                  <a:pt x="8674" y="64484"/>
                </a:cubicBezTo>
                <a:cubicBezTo>
                  <a:pt x="8674" y="45625"/>
                  <a:pt x="16676" y="30194"/>
                  <a:pt x="32487" y="18097"/>
                </a:cubicBezTo>
                <a:cubicBezTo>
                  <a:pt x="48298" y="6001"/>
                  <a:pt x="70777" y="0"/>
                  <a:pt x="99924" y="0"/>
                </a:cubicBezTo>
                <a:cubicBezTo>
                  <a:pt x="126594" y="0"/>
                  <a:pt x="149454" y="5334"/>
                  <a:pt x="168123" y="15907"/>
                </a:cubicBezTo>
                <a:cubicBezTo>
                  <a:pt x="186792" y="26479"/>
                  <a:pt x="196126" y="43339"/>
                  <a:pt x="196126" y="66675"/>
                </a:cubicBezTo>
                <a:lnTo>
                  <a:pt x="162503" y="66675"/>
                </a:lnTo>
                <a:cubicBezTo>
                  <a:pt x="160788" y="55531"/>
                  <a:pt x="157264" y="46958"/>
                  <a:pt x="151549" y="40862"/>
                </a:cubicBezTo>
                <a:cubicBezTo>
                  <a:pt x="141167" y="30004"/>
                  <a:pt x="123546" y="24479"/>
                  <a:pt x="98781" y="24479"/>
                </a:cubicBezTo>
                <a:cubicBezTo>
                  <a:pt x="78588" y="24479"/>
                  <a:pt x="64205" y="28004"/>
                  <a:pt x="55442" y="35052"/>
                </a:cubicBezTo>
                <a:cubicBezTo>
                  <a:pt x="46679" y="42101"/>
                  <a:pt x="42298" y="50292"/>
                  <a:pt x="42298" y="59627"/>
                </a:cubicBezTo>
                <a:cubicBezTo>
                  <a:pt x="42298" y="69818"/>
                  <a:pt x="47441" y="77343"/>
                  <a:pt x="57823" y="82105"/>
                </a:cubicBezTo>
                <a:cubicBezTo>
                  <a:pt x="64681" y="85344"/>
                  <a:pt x="80112" y="89059"/>
                  <a:pt x="104020" y="93536"/>
                </a:cubicBezTo>
                <a:lnTo>
                  <a:pt x="139643" y="100013"/>
                </a:lnTo>
                <a:cubicBezTo>
                  <a:pt x="156883" y="103442"/>
                  <a:pt x="170123" y="107918"/>
                  <a:pt x="179553" y="113538"/>
                </a:cubicBezTo>
                <a:cubicBezTo>
                  <a:pt x="195745" y="123349"/>
                  <a:pt x="203841" y="137446"/>
                  <a:pt x="203841" y="156020"/>
                </a:cubicBezTo>
                <a:cubicBezTo>
                  <a:pt x="203841" y="179261"/>
                  <a:pt x="193554" y="195834"/>
                  <a:pt x="172981" y="205835"/>
                </a:cubicBezTo>
                <a:cubicBezTo>
                  <a:pt x="152311" y="215741"/>
                  <a:pt x="128404" y="220789"/>
                  <a:pt x="101162" y="220789"/>
                </a:cubicBezTo>
                <a:cubicBezTo>
                  <a:pt x="69444" y="220789"/>
                  <a:pt x="44488" y="214122"/>
                  <a:pt x="26486" y="200787"/>
                </a:cubicBezTo>
                <a:cubicBezTo>
                  <a:pt x="8484" y="187547"/>
                  <a:pt x="-279" y="169640"/>
                  <a:pt x="7" y="146971"/>
                </a:cubicBezTo>
                <a:lnTo>
                  <a:pt x="33725" y="14697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5" name="Forma Livre: Forma 24">
            <a:extLst>
              <a:ext uri="{FF2B5EF4-FFF2-40B4-BE49-F238E27FC236}">
                <a16:creationId xmlns:a16="http://schemas.microsoft.com/office/drawing/2014/main" id="{CB99623B-8480-DA1E-8EA3-469BB79AAEB7}"/>
              </a:ext>
            </a:extLst>
          </xdr:cNvPr>
          <xdr:cNvSpPr/>
        </xdr:nvSpPr>
        <xdr:spPr>
          <a:xfrm>
            <a:off x="12085242" y="11578377"/>
            <a:ext cx="234315" cy="209931"/>
          </a:xfrm>
          <a:custGeom>
            <a:avLst/>
            <a:gdLst>
              <a:gd name="connsiteX0" fmla="*/ 157925 w 234315"/>
              <a:gd name="connsiteY0" fmla="*/ 123635 h 209931"/>
              <a:gd name="connsiteX1" fmla="*/ 117634 w 234315"/>
              <a:gd name="connsiteY1" fmla="*/ 31052 h 209931"/>
              <a:gd name="connsiteX2" fmla="*/ 75629 w 234315"/>
              <a:gd name="connsiteY2" fmla="*/ 123635 h 209931"/>
              <a:gd name="connsiteX3" fmla="*/ 157925 w 234315"/>
              <a:gd name="connsiteY3" fmla="*/ 123635 h 209931"/>
              <a:gd name="connsiteX4" fmla="*/ 99060 w 234315"/>
              <a:gd name="connsiteY4" fmla="*/ 0 h 209931"/>
              <a:gd name="connsiteX5" fmla="*/ 139161 w 234315"/>
              <a:gd name="connsiteY5" fmla="*/ 0 h 209931"/>
              <a:gd name="connsiteX6" fmla="*/ 234315 w 234315"/>
              <a:gd name="connsiteY6" fmla="*/ 209931 h 209931"/>
              <a:gd name="connsiteX7" fmla="*/ 195358 w 234315"/>
              <a:gd name="connsiteY7" fmla="*/ 209931 h 209931"/>
              <a:gd name="connsiteX8" fmla="*/ 167830 w 234315"/>
              <a:gd name="connsiteY8" fmla="*/ 146685 h 209931"/>
              <a:gd name="connsiteX9" fmla="*/ 65151 w 234315"/>
              <a:gd name="connsiteY9" fmla="*/ 146685 h 209931"/>
              <a:gd name="connsiteX10" fmla="*/ 36481 w 234315"/>
              <a:gd name="connsiteY10" fmla="*/ 209931 h 209931"/>
              <a:gd name="connsiteX11" fmla="*/ 0 w 234315"/>
              <a:gd name="connsiteY11" fmla="*/ 209931 h 209931"/>
              <a:gd name="connsiteX12" fmla="*/ 99060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925" y="123635"/>
                </a:moveTo>
                <a:lnTo>
                  <a:pt x="117634" y="31052"/>
                </a:lnTo>
                <a:lnTo>
                  <a:pt x="75629" y="123635"/>
                </a:lnTo>
                <a:lnTo>
                  <a:pt x="157925" y="123635"/>
                </a:lnTo>
                <a:close/>
                <a:moveTo>
                  <a:pt x="99060" y="0"/>
                </a:moveTo>
                <a:lnTo>
                  <a:pt x="139161" y="0"/>
                </a:lnTo>
                <a:lnTo>
                  <a:pt x="234315" y="209931"/>
                </a:lnTo>
                <a:lnTo>
                  <a:pt x="195358" y="209931"/>
                </a:lnTo>
                <a:lnTo>
                  <a:pt x="167830" y="146685"/>
                </a:lnTo>
                <a:lnTo>
                  <a:pt x="65151" y="146685"/>
                </a:lnTo>
                <a:lnTo>
                  <a:pt x="36481" y="209931"/>
                </a:lnTo>
                <a:lnTo>
                  <a:pt x="0" y="209931"/>
                </a:lnTo>
                <a:lnTo>
                  <a:pt x="9906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6" name="Forma Livre: Forma 25">
            <a:extLst>
              <a:ext uri="{FF2B5EF4-FFF2-40B4-BE49-F238E27FC236}">
                <a16:creationId xmlns:a16="http://schemas.microsoft.com/office/drawing/2014/main" id="{0D7F94DD-3037-D41D-1159-50AF74D8EB4F}"/>
              </a:ext>
            </a:extLst>
          </xdr:cNvPr>
          <xdr:cNvSpPr/>
        </xdr:nvSpPr>
        <xdr:spPr>
          <a:xfrm>
            <a:off x="12341178" y="11578377"/>
            <a:ext cx="167354" cy="209931"/>
          </a:xfrm>
          <a:custGeom>
            <a:avLst/>
            <a:gdLst>
              <a:gd name="connsiteX0" fmla="*/ 0 w 167354"/>
              <a:gd name="connsiteY0" fmla="*/ 0 h 209931"/>
              <a:gd name="connsiteX1" fmla="*/ 36005 w 167354"/>
              <a:gd name="connsiteY1" fmla="*/ 0 h 209931"/>
              <a:gd name="connsiteX2" fmla="*/ 36005 w 167354"/>
              <a:gd name="connsiteY2" fmla="*/ 184976 h 209931"/>
              <a:gd name="connsiteX3" fmla="*/ 167354 w 167354"/>
              <a:gd name="connsiteY3" fmla="*/ 184976 h 209931"/>
              <a:gd name="connsiteX4" fmla="*/ 167354 w 167354"/>
              <a:gd name="connsiteY4" fmla="*/ 209931 h 209931"/>
              <a:gd name="connsiteX5" fmla="*/ 0 w 167354"/>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354" h="209931">
                <a:moveTo>
                  <a:pt x="0" y="0"/>
                </a:moveTo>
                <a:lnTo>
                  <a:pt x="36005" y="0"/>
                </a:lnTo>
                <a:lnTo>
                  <a:pt x="36005" y="184976"/>
                </a:lnTo>
                <a:lnTo>
                  <a:pt x="167354" y="184976"/>
                </a:lnTo>
                <a:lnTo>
                  <a:pt x="167354"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grpSp>
    <xdr:clientData/>
  </xdr:absoluteAnchor>
</xdr:wsDr>
</file>

<file path=xl/drawings/drawing7.xml><?xml version="1.0" encoding="utf-8"?>
<xdr:wsDr xmlns:xdr="http://schemas.openxmlformats.org/drawingml/2006/spreadsheetDrawing" xmlns:a="http://schemas.openxmlformats.org/drawingml/2006/main">
  <xdr:absoluteAnchor>
    <xdr:pos x="800100" y="114300"/>
    <xdr:ext cx="1516540" cy="129540"/>
    <xdr:grpSp>
      <xdr:nvGrpSpPr>
        <xdr:cNvPr id="2" name="Agrupar 11">
          <a:extLst>
            <a:ext uri="{FF2B5EF4-FFF2-40B4-BE49-F238E27FC236}">
              <a16:creationId xmlns:a16="http://schemas.microsoft.com/office/drawing/2014/main" id="{7E33EF2E-C518-4DB3-9B52-3FF8E6B5EFF3}"/>
            </a:ext>
          </a:extLst>
        </xdr:cNvPr>
        <xdr:cNvGrpSpPr/>
      </xdr:nvGrpSpPr>
      <xdr:grpSpPr>
        <a:xfrm>
          <a:off x="800100" y="114300"/>
          <a:ext cx="1516540" cy="129540"/>
          <a:chOff x="8887890" y="11505511"/>
          <a:chExt cx="3620642" cy="289559"/>
        </a:xfrm>
        <a:solidFill>
          <a:schemeClr val="bg1"/>
        </a:solidFill>
      </xdr:grpSpPr>
      <xdr:sp macro="" textlink="">
        <xdr:nvSpPr>
          <xdr:cNvPr id="3" name="Forma Livre: Forma 12">
            <a:extLst>
              <a:ext uri="{FF2B5EF4-FFF2-40B4-BE49-F238E27FC236}">
                <a16:creationId xmlns:a16="http://schemas.microsoft.com/office/drawing/2014/main" id="{89BB6CE3-BF51-FC28-F17C-D8DF9B8F230E}"/>
              </a:ext>
            </a:extLst>
          </xdr:cNvPr>
          <xdr:cNvSpPr/>
        </xdr:nvSpPr>
        <xdr:spPr>
          <a:xfrm>
            <a:off x="8887890" y="11505511"/>
            <a:ext cx="316801" cy="282797"/>
          </a:xfrm>
          <a:custGeom>
            <a:avLst/>
            <a:gdLst>
              <a:gd name="connsiteX0" fmla="*/ 213932 w 316801"/>
              <a:gd name="connsiteY0" fmla="*/ 166688 h 282797"/>
              <a:gd name="connsiteX1" fmla="*/ 159639 w 316801"/>
              <a:gd name="connsiteY1" fmla="*/ 41815 h 282797"/>
              <a:gd name="connsiteX2" fmla="*/ 103061 w 316801"/>
              <a:gd name="connsiteY2" fmla="*/ 166688 h 282797"/>
              <a:gd name="connsiteX3" fmla="*/ 213932 w 316801"/>
              <a:gd name="connsiteY3" fmla="*/ 166688 h 282797"/>
              <a:gd name="connsiteX4" fmla="*/ 133445 w 316801"/>
              <a:gd name="connsiteY4" fmla="*/ 0 h 282797"/>
              <a:gd name="connsiteX5" fmla="*/ 188786 w 316801"/>
              <a:gd name="connsiteY5" fmla="*/ 0 h 282797"/>
              <a:gd name="connsiteX6" fmla="*/ 316802 w 316801"/>
              <a:gd name="connsiteY6" fmla="*/ 282797 h 282797"/>
              <a:gd name="connsiteX7" fmla="*/ 264414 w 316801"/>
              <a:gd name="connsiteY7" fmla="*/ 282797 h 282797"/>
              <a:gd name="connsiteX8" fmla="*/ 227266 w 316801"/>
              <a:gd name="connsiteY8" fmla="*/ 197453 h 282797"/>
              <a:gd name="connsiteX9" fmla="*/ 89154 w 316801"/>
              <a:gd name="connsiteY9" fmla="*/ 197453 h 282797"/>
              <a:gd name="connsiteX10" fmla="*/ 50482 w 316801"/>
              <a:gd name="connsiteY10" fmla="*/ 282797 h 282797"/>
              <a:gd name="connsiteX11" fmla="*/ 0 w 316801"/>
              <a:gd name="connsiteY11" fmla="*/ 282797 h 282797"/>
              <a:gd name="connsiteX12" fmla="*/ 133445 w 316801"/>
              <a:gd name="connsiteY12"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16801" h="282797">
                <a:moveTo>
                  <a:pt x="213932" y="166688"/>
                </a:moveTo>
                <a:lnTo>
                  <a:pt x="159639" y="41815"/>
                </a:lnTo>
                <a:lnTo>
                  <a:pt x="103061" y="166688"/>
                </a:lnTo>
                <a:lnTo>
                  <a:pt x="213932" y="166688"/>
                </a:lnTo>
                <a:close/>
                <a:moveTo>
                  <a:pt x="133445" y="0"/>
                </a:moveTo>
                <a:lnTo>
                  <a:pt x="188786" y="0"/>
                </a:lnTo>
                <a:lnTo>
                  <a:pt x="316802" y="282797"/>
                </a:lnTo>
                <a:lnTo>
                  <a:pt x="264414" y="282797"/>
                </a:lnTo>
                <a:lnTo>
                  <a:pt x="227266" y="197453"/>
                </a:lnTo>
                <a:lnTo>
                  <a:pt x="89154" y="197453"/>
                </a:lnTo>
                <a:lnTo>
                  <a:pt x="50482" y="282797"/>
                </a:lnTo>
                <a:lnTo>
                  <a:pt x="0" y="282797"/>
                </a:lnTo>
                <a:lnTo>
                  <a:pt x="13344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4" name="Forma Livre: Forma 13">
            <a:extLst>
              <a:ext uri="{FF2B5EF4-FFF2-40B4-BE49-F238E27FC236}">
                <a16:creationId xmlns:a16="http://schemas.microsoft.com/office/drawing/2014/main" id="{2918AE39-F3B9-8E9A-A4FD-234C955C91DE}"/>
              </a:ext>
            </a:extLst>
          </xdr:cNvPr>
          <xdr:cNvSpPr/>
        </xdr:nvSpPr>
        <xdr:spPr>
          <a:xfrm>
            <a:off x="9234505" y="11578377"/>
            <a:ext cx="167258" cy="209931"/>
          </a:xfrm>
          <a:custGeom>
            <a:avLst/>
            <a:gdLst>
              <a:gd name="connsiteX0" fmla="*/ 0 w 167258"/>
              <a:gd name="connsiteY0" fmla="*/ 0 h 209931"/>
              <a:gd name="connsiteX1" fmla="*/ 35909 w 167258"/>
              <a:gd name="connsiteY1" fmla="*/ 0 h 209931"/>
              <a:gd name="connsiteX2" fmla="*/ 35909 w 167258"/>
              <a:gd name="connsiteY2" fmla="*/ 184976 h 209931"/>
              <a:gd name="connsiteX3" fmla="*/ 167259 w 167258"/>
              <a:gd name="connsiteY3" fmla="*/ 184976 h 209931"/>
              <a:gd name="connsiteX4" fmla="*/ 167259 w 167258"/>
              <a:gd name="connsiteY4" fmla="*/ 209931 h 209931"/>
              <a:gd name="connsiteX5" fmla="*/ 0 w 167258"/>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258" h="209931">
                <a:moveTo>
                  <a:pt x="0" y="0"/>
                </a:moveTo>
                <a:lnTo>
                  <a:pt x="35909" y="0"/>
                </a:lnTo>
                <a:lnTo>
                  <a:pt x="35909" y="184976"/>
                </a:lnTo>
                <a:lnTo>
                  <a:pt x="167259" y="184976"/>
                </a:lnTo>
                <a:lnTo>
                  <a:pt x="167259"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5" name="Forma Livre: Forma 14">
            <a:extLst>
              <a:ext uri="{FF2B5EF4-FFF2-40B4-BE49-F238E27FC236}">
                <a16:creationId xmlns:a16="http://schemas.microsoft.com/office/drawing/2014/main" id="{B95639CD-84BB-6904-56A5-F03EF77E5202}"/>
              </a:ext>
            </a:extLst>
          </xdr:cNvPr>
          <xdr:cNvSpPr/>
        </xdr:nvSpPr>
        <xdr:spPr>
          <a:xfrm>
            <a:off x="9366140" y="11578377"/>
            <a:ext cx="229171" cy="209931"/>
          </a:xfrm>
          <a:custGeom>
            <a:avLst/>
            <a:gdLst>
              <a:gd name="connsiteX0" fmla="*/ 39338 w 229171"/>
              <a:gd name="connsiteY0" fmla="*/ 0 h 209931"/>
              <a:gd name="connsiteX1" fmla="*/ 114585 w 229171"/>
              <a:gd name="connsiteY1" fmla="*/ 178689 h 209931"/>
              <a:gd name="connsiteX2" fmla="*/ 189357 w 229171"/>
              <a:gd name="connsiteY2" fmla="*/ 0 h 209931"/>
              <a:gd name="connsiteX3" fmla="*/ 229171 w 229171"/>
              <a:gd name="connsiteY3" fmla="*/ 0 h 209931"/>
              <a:gd name="connsiteX4" fmla="*/ 133159 w 229171"/>
              <a:gd name="connsiteY4" fmla="*/ 209931 h 209931"/>
              <a:gd name="connsiteX5" fmla="*/ 95440 w 229171"/>
              <a:gd name="connsiteY5" fmla="*/ 209931 h 209931"/>
              <a:gd name="connsiteX6" fmla="*/ 0 w 229171"/>
              <a:gd name="connsiteY6"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9171" h="209931">
                <a:moveTo>
                  <a:pt x="39338" y="0"/>
                </a:moveTo>
                <a:lnTo>
                  <a:pt x="114585" y="178689"/>
                </a:lnTo>
                <a:lnTo>
                  <a:pt x="189357" y="0"/>
                </a:lnTo>
                <a:lnTo>
                  <a:pt x="229171" y="0"/>
                </a:lnTo>
                <a:lnTo>
                  <a:pt x="133159" y="209931"/>
                </a:lnTo>
                <a:lnTo>
                  <a:pt x="95440" y="209931"/>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6" name="Forma Livre: Forma 15">
            <a:extLst>
              <a:ext uri="{FF2B5EF4-FFF2-40B4-BE49-F238E27FC236}">
                <a16:creationId xmlns:a16="http://schemas.microsoft.com/office/drawing/2014/main" id="{72F5DDCA-FF76-A434-8F25-26668F7F050D}"/>
              </a:ext>
            </a:extLst>
          </xdr:cNvPr>
          <xdr:cNvSpPr/>
        </xdr:nvSpPr>
        <xdr:spPr>
          <a:xfrm>
            <a:off x="9549115" y="11578377"/>
            <a:ext cx="234315" cy="209931"/>
          </a:xfrm>
          <a:custGeom>
            <a:avLst/>
            <a:gdLst>
              <a:gd name="connsiteX0" fmla="*/ 157639 w 234315"/>
              <a:gd name="connsiteY0" fmla="*/ 123635 h 209931"/>
              <a:gd name="connsiteX1" fmla="*/ 117348 w 234315"/>
              <a:gd name="connsiteY1" fmla="*/ 31052 h 209931"/>
              <a:gd name="connsiteX2" fmla="*/ 75438 w 234315"/>
              <a:gd name="connsiteY2" fmla="*/ 123635 h 209931"/>
              <a:gd name="connsiteX3" fmla="*/ 157639 w 234315"/>
              <a:gd name="connsiteY3" fmla="*/ 123635 h 209931"/>
              <a:gd name="connsiteX4" fmla="*/ 98965 w 234315"/>
              <a:gd name="connsiteY4" fmla="*/ 0 h 209931"/>
              <a:gd name="connsiteX5" fmla="*/ 139065 w 234315"/>
              <a:gd name="connsiteY5" fmla="*/ 0 h 209931"/>
              <a:gd name="connsiteX6" fmla="*/ 234315 w 234315"/>
              <a:gd name="connsiteY6" fmla="*/ 209931 h 209931"/>
              <a:gd name="connsiteX7" fmla="*/ 195358 w 234315"/>
              <a:gd name="connsiteY7" fmla="*/ 209931 h 209931"/>
              <a:gd name="connsiteX8" fmla="*/ 167736 w 234315"/>
              <a:gd name="connsiteY8" fmla="*/ 146685 h 209931"/>
              <a:gd name="connsiteX9" fmla="*/ 65056 w 234315"/>
              <a:gd name="connsiteY9" fmla="*/ 146685 h 209931"/>
              <a:gd name="connsiteX10" fmla="*/ 36481 w 234315"/>
              <a:gd name="connsiteY10" fmla="*/ 209931 h 209931"/>
              <a:gd name="connsiteX11" fmla="*/ 0 w 234315"/>
              <a:gd name="connsiteY11" fmla="*/ 209931 h 209931"/>
              <a:gd name="connsiteX12" fmla="*/ 98965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639" y="123635"/>
                </a:moveTo>
                <a:lnTo>
                  <a:pt x="117348" y="31052"/>
                </a:lnTo>
                <a:lnTo>
                  <a:pt x="75438" y="123635"/>
                </a:lnTo>
                <a:lnTo>
                  <a:pt x="157639" y="123635"/>
                </a:lnTo>
                <a:close/>
                <a:moveTo>
                  <a:pt x="98965" y="0"/>
                </a:moveTo>
                <a:lnTo>
                  <a:pt x="139065" y="0"/>
                </a:lnTo>
                <a:lnTo>
                  <a:pt x="234315" y="209931"/>
                </a:lnTo>
                <a:lnTo>
                  <a:pt x="195358" y="209931"/>
                </a:lnTo>
                <a:lnTo>
                  <a:pt x="167736"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7" name="Forma Livre: Forma 16">
            <a:extLst>
              <a:ext uri="{FF2B5EF4-FFF2-40B4-BE49-F238E27FC236}">
                <a16:creationId xmlns:a16="http://schemas.microsoft.com/office/drawing/2014/main" id="{8B4388BD-8074-8917-5D87-B265B26FE496}"/>
              </a:ext>
            </a:extLst>
          </xdr:cNvPr>
          <xdr:cNvSpPr/>
        </xdr:nvSpPr>
        <xdr:spPr>
          <a:xfrm>
            <a:off x="9811815" y="11578377"/>
            <a:ext cx="213836" cy="209835"/>
          </a:xfrm>
          <a:custGeom>
            <a:avLst/>
            <a:gdLst>
              <a:gd name="connsiteX0" fmla="*/ 115158 w 213836"/>
              <a:gd name="connsiteY0" fmla="*/ 96298 h 209835"/>
              <a:gd name="connsiteX1" fmla="*/ 153258 w 213836"/>
              <a:gd name="connsiteY1" fmla="*/ 88297 h 209835"/>
              <a:gd name="connsiteX2" fmla="*/ 167259 w 213836"/>
              <a:gd name="connsiteY2" fmla="*/ 59627 h 209835"/>
              <a:gd name="connsiteX3" fmla="*/ 147638 w 213836"/>
              <a:gd name="connsiteY3" fmla="*/ 29146 h 209835"/>
              <a:gd name="connsiteX4" fmla="*/ 119634 w 213836"/>
              <a:gd name="connsiteY4" fmla="*/ 24860 h 209835"/>
              <a:gd name="connsiteX5" fmla="*/ 35909 w 213836"/>
              <a:gd name="connsiteY5" fmla="*/ 24860 h 209835"/>
              <a:gd name="connsiteX6" fmla="*/ 35909 w 213836"/>
              <a:gd name="connsiteY6" fmla="*/ 96298 h 209835"/>
              <a:gd name="connsiteX7" fmla="*/ 115158 w 213836"/>
              <a:gd name="connsiteY7" fmla="*/ 96298 h 209835"/>
              <a:gd name="connsiteX8" fmla="*/ 0 w 213836"/>
              <a:gd name="connsiteY8" fmla="*/ 0 h 209835"/>
              <a:gd name="connsiteX9" fmla="*/ 119063 w 213836"/>
              <a:gd name="connsiteY9" fmla="*/ 0 h 209835"/>
              <a:gd name="connsiteX10" fmla="*/ 167450 w 213836"/>
              <a:gd name="connsiteY10" fmla="*/ 6953 h 209835"/>
              <a:gd name="connsiteX11" fmla="*/ 203740 w 213836"/>
              <a:gd name="connsiteY11" fmla="*/ 56674 h 209835"/>
              <a:gd name="connsiteX12" fmla="*/ 193929 w 213836"/>
              <a:gd name="connsiteY12" fmla="*/ 87439 h 209835"/>
              <a:gd name="connsiteX13" fmla="*/ 166497 w 213836"/>
              <a:gd name="connsiteY13" fmla="*/ 106775 h 209835"/>
              <a:gd name="connsiteX14" fmla="*/ 189738 w 213836"/>
              <a:gd name="connsiteY14" fmla="*/ 119920 h 209835"/>
              <a:gd name="connsiteX15" fmla="*/ 198406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49 w 213836"/>
              <a:gd name="connsiteY22" fmla="*/ 186404 h 209835"/>
              <a:gd name="connsiteX23" fmla="*/ 163544 w 213836"/>
              <a:gd name="connsiteY23" fmla="*/ 151257 h 209835"/>
              <a:gd name="connsiteX24" fmla="*/ 145066 w 213836"/>
              <a:gd name="connsiteY24" fmla="*/ 123635 h 209835"/>
              <a:gd name="connsiteX25" fmla="*/ 114205 w 213836"/>
              <a:gd name="connsiteY25" fmla="*/ 119729 h 209835"/>
              <a:gd name="connsiteX26" fmla="*/ 36005 w 213836"/>
              <a:gd name="connsiteY26" fmla="*/ 119729 h 209835"/>
              <a:gd name="connsiteX27" fmla="*/ 36005 w 213836"/>
              <a:gd name="connsiteY27" fmla="*/ 209836 h 209835"/>
              <a:gd name="connsiteX28" fmla="*/ 95 w 213836"/>
              <a:gd name="connsiteY28" fmla="*/ 209836 h 209835"/>
              <a:gd name="connsiteX29" fmla="*/ 95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158" y="96298"/>
                </a:moveTo>
                <a:cubicBezTo>
                  <a:pt x="131255" y="96298"/>
                  <a:pt x="143923" y="93631"/>
                  <a:pt x="153258" y="88297"/>
                </a:cubicBezTo>
                <a:cubicBezTo>
                  <a:pt x="162687" y="82963"/>
                  <a:pt x="167259" y="73343"/>
                  <a:pt x="167259" y="59627"/>
                </a:cubicBezTo>
                <a:cubicBezTo>
                  <a:pt x="167259" y="44672"/>
                  <a:pt x="160782" y="34480"/>
                  <a:pt x="147638" y="29146"/>
                </a:cubicBezTo>
                <a:cubicBezTo>
                  <a:pt x="140684" y="26289"/>
                  <a:pt x="131255" y="24860"/>
                  <a:pt x="119634" y="24860"/>
                </a:cubicBezTo>
                <a:lnTo>
                  <a:pt x="35909" y="24860"/>
                </a:lnTo>
                <a:lnTo>
                  <a:pt x="35909" y="96298"/>
                </a:lnTo>
                <a:lnTo>
                  <a:pt x="115158" y="96298"/>
                </a:lnTo>
                <a:close/>
                <a:moveTo>
                  <a:pt x="0" y="0"/>
                </a:moveTo>
                <a:lnTo>
                  <a:pt x="119063" y="0"/>
                </a:lnTo>
                <a:cubicBezTo>
                  <a:pt x="138684" y="0"/>
                  <a:pt x="154781" y="2286"/>
                  <a:pt x="167450" y="6953"/>
                </a:cubicBezTo>
                <a:cubicBezTo>
                  <a:pt x="191643" y="16002"/>
                  <a:pt x="203740" y="32576"/>
                  <a:pt x="203740" y="56674"/>
                </a:cubicBezTo>
                <a:cubicBezTo>
                  <a:pt x="203740" y="69247"/>
                  <a:pt x="200501" y="79438"/>
                  <a:pt x="193929" y="87439"/>
                </a:cubicBezTo>
                <a:cubicBezTo>
                  <a:pt x="187357" y="95440"/>
                  <a:pt x="178213" y="101918"/>
                  <a:pt x="166497" y="106775"/>
                </a:cubicBezTo>
                <a:cubicBezTo>
                  <a:pt x="176879" y="110109"/>
                  <a:pt x="184595" y="114395"/>
                  <a:pt x="189738" y="119920"/>
                </a:cubicBezTo>
                <a:cubicBezTo>
                  <a:pt x="194977" y="125349"/>
                  <a:pt x="197834" y="134112"/>
                  <a:pt x="198406" y="146304"/>
                </a:cubicBezTo>
                <a:lnTo>
                  <a:pt x="199930" y="174403"/>
                </a:lnTo>
                <a:cubicBezTo>
                  <a:pt x="200311" y="182404"/>
                  <a:pt x="201073" y="188404"/>
                  <a:pt x="202406" y="192214"/>
                </a:cubicBezTo>
                <a:cubicBezTo>
                  <a:pt x="204597" y="198882"/>
                  <a:pt x="208312" y="203168"/>
                  <a:pt x="213836" y="204978"/>
                </a:cubicBezTo>
                <a:lnTo>
                  <a:pt x="213836" y="209836"/>
                </a:lnTo>
                <a:lnTo>
                  <a:pt x="169831" y="209836"/>
                </a:lnTo>
                <a:cubicBezTo>
                  <a:pt x="168688" y="208026"/>
                  <a:pt x="167735" y="205740"/>
                  <a:pt x="167069" y="202787"/>
                </a:cubicBezTo>
                <a:cubicBezTo>
                  <a:pt x="166402" y="199930"/>
                  <a:pt x="165831" y="194405"/>
                  <a:pt x="165449" y="186404"/>
                </a:cubicBezTo>
                <a:lnTo>
                  <a:pt x="163544" y="151257"/>
                </a:lnTo>
                <a:cubicBezTo>
                  <a:pt x="162783" y="137446"/>
                  <a:pt x="156591" y="128302"/>
                  <a:pt x="145066" y="123635"/>
                </a:cubicBezTo>
                <a:cubicBezTo>
                  <a:pt x="138494" y="120968"/>
                  <a:pt x="128207" y="119729"/>
                  <a:pt x="114205" y="119729"/>
                </a:cubicBezTo>
                <a:lnTo>
                  <a:pt x="36005" y="119729"/>
                </a:lnTo>
                <a:lnTo>
                  <a:pt x="36005" y="209836"/>
                </a:lnTo>
                <a:lnTo>
                  <a:pt x="95" y="209836"/>
                </a:lnTo>
                <a:lnTo>
                  <a:pt x="9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8" name="Forma Livre: Forma 17">
            <a:extLst>
              <a:ext uri="{FF2B5EF4-FFF2-40B4-BE49-F238E27FC236}">
                <a16:creationId xmlns:a16="http://schemas.microsoft.com/office/drawing/2014/main" id="{CBCEC241-98D1-0E5F-2784-2FC2A355C850}"/>
              </a:ext>
            </a:extLst>
          </xdr:cNvPr>
          <xdr:cNvSpPr/>
        </xdr:nvSpPr>
        <xdr:spPr>
          <a:xfrm>
            <a:off x="10052797" y="11578377"/>
            <a:ext cx="168497" cy="209931"/>
          </a:xfrm>
          <a:custGeom>
            <a:avLst/>
            <a:gdLst>
              <a:gd name="connsiteX0" fmla="*/ 0 w 168497"/>
              <a:gd name="connsiteY0" fmla="*/ 0 h 209931"/>
              <a:gd name="connsiteX1" fmla="*/ 166878 w 168497"/>
              <a:gd name="connsiteY1" fmla="*/ 0 h 209931"/>
              <a:gd name="connsiteX2" fmla="*/ 166878 w 168497"/>
              <a:gd name="connsiteY2" fmla="*/ 25337 h 209931"/>
              <a:gd name="connsiteX3" fmla="*/ 30004 w 168497"/>
              <a:gd name="connsiteY3" fmla="*/ 25337 h 209931"/>
              <a:gd name="connsiteX4" fmla="*/ 30004 w 168497"/>
              <a:gd name="connsiteY4" fmla="*/ 89059 h 209931"/>
              <a:gd name="connsiteX5" fmla="*/ 156496 w 168497"/>
              <a:gd name="connsiteY5" fmla="*/ 89059 h 209931"/>
              <a:gd name="connsiteX6" fmla="*/ 156496 w 168497"/>
              <a:gd name="connsiteY6" fmla="*/ 113919 h 209931"/>
              <a:gd name="connsiteX7" fmla="*/ 30004 w 168497"/>
              <a:gd name="connsiteY7" fmla="*/ 113919 h 209931"/>
              <a:gd name="connsiteX8" fmla="*/ 30004 w 168497"/>
              <a:gd name="connsiteY8" fmla="*/ 184976 h 209931"/>
              <a:gd name="connsiteX9" fmla="*/ 168497 w 168497"/>
              <a:gd name="connsiteY9" fmla="*/ 184976 h 209931"/>
              <a:gd name="connsiteX10" fmla="*/ 168497 w 168497"/>
              <a:gd name="connsiteY10" fmla="*/ 209931 h 209931"/>
              <a:gd name="connsiteX11" fmla="*/ 0 w 168497"/>
              <a:gd name="connsiteY11"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8497" h="209931">
                <a:moveTo>
                  <a:pt x="0" y="0"/>
                </a:moveTo>
                <a:lnTo>
                  <a:pt x="166878" y="0"/>
                </a:lnTo>
                <a:lnTo>
                  <a:pt x="166878" y="25337"/>
                </a:lnTo>
                <a:lnTo>
                  <a:pt x="30004" y="25337"/>
                </a:lnTo>
                <a:lnTo>
                  <a:pt x="30004" y="89059"/>
                </a:lnTo>
                <a:lnTo>
                  <a:pt x="156496" y="89059"/>
                </a:lnTo>
                <a:lnTo>
                  <a:pt x="156496" y="113919"/>
                </a:lnTo>
                <a:lnTo>
                  <a:pt x="30004" y="113919"/>
                </a:lnTo>
                <a:lnTo>
                  <a:pt x="30004" y="184976"/>
                </a:lnTo>
                <a:lnTo>
                  <a:pt x="168497" y="184976"/>
                </a:lnTo>
                <a:lnTo>
                  <a:pt x="168497"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9" name="Forma Livre: Forma 18">
            <a:extLst>
              <a:ext uri="{FF2B5EF4-FFF2-40B4-BE49-F238E27FC236}">
                <a16:creationId xmlns:a16="http://schemas.microsoft.com/office/drawing/2014/main" id="{3F0BC3DB-2C45-92EF-0882-79C7E530C0E7}"/>
              </a:ext>
            </a:extLst>
          </xdr:cNvPr>
          <xdr:cNvSpPr/>
        </xdr:nvSpPr>
        <xdr:spPr>
          <a:xfrm>
            <a:off x="10254442" y="11578377"/>
            <a:ext cx="206120" cy="209931"/>
          </a:xfrm>
          <a:custGeom>
            <a:avLst/>
            <a:gdLst>
              <a:gd name="connsiteX0" fmla="*/ 0 w 206120"/>
              <a:gd name="connsiteY0" fmla="*/ 186404 h 209931"/>
              <a:gd name="connsiteX1" fmla="*/ 160972 w 206120"/>
              <a:gd name="connsiteY1" fmla="*/ 24860 h 209931"/>
              <a:gd name="connsiteX2" fmla="*/ 12001 w 206120"/>
              <a:gd name="connsiteY2" fmla="*/ 24860 h 209931"/>
              <a:gd name="connsiteX3" fmla="*/ 12001 w 206120"/>
              <a:gd name="connsiteY3" fmla="*/ 0 h 209931"/>
              <a:gd name="connsiteX4" fmla="*/ 206121 w 206120"/>
              <a:gd name="connsiteY4" fmla="*/ 0 h 209931"/>
              <a:gd name="connsiteX5" fmla="*/ 206121 w 206120"/>
              <a:gd name="connsiteY5" fmla="*/ 24289 h 209931"/>
              <a:gd name="connsiteX6" fmla="*/ 44672 w 206120"/>
              <a:gd name="connsiteY6" fmla="*/ 184976 h 209931"/>
              <a:gd name="connsiteX7" fmla="*/ 206121 w 206120"/>
              <a:gd name="connsiteY7" fmla="*/ 184976 h 209931"/>
              <a:gd name="connsiteX8" fmla="*/ 206121 w 206120"/>
              <a:gd name="connsiteY8" fmla="*/ 209931 h 209931"/>
              <a:gd name="connsiteX9" fmla="*/ 0 w 206120"/>
              <a:gd name="connsiteY9"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06120" h="209931">
                <a:moveTo>
                  <a:pt x="0" y="186404"/>
                </a:moveTo>
                <a:lnTo>
                  <a:pt x="160972" y="24860"/>
                </a:lnTo>
                <a:lnTo>
                  <a:pt x="12001" y="24860"/>
                </a:lnTo>
                <a:lnTo>
                  <a:pt x="12001" y="0"/>
                </a:lnTo>
                <a:lnTo>
                  <a:pt x="206121" y="0"/>
                </a:lnTo>
                <a:lnTo>
                  <a:pt x="206121" y="24289"/>
                </a:lnTo>
                <a:lnTo>
                  <a:pt x="44672" y="184976"/>
                </a:lnTo>
                <a:lnTo>
                  <a:pt x="206121" y="184976"/>
                </a:lnTo>
                <a:lnTo>
                  <a:pt x="206121"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0" name="Forma Livre: Forma 19">
            <a:extLst>
              <a:ext uri="{FF2B5EF4-FFF2-40B4-BE49-F238E27FC236}">
                <a16:creationId xmlns:a16="http://schemas.microsoft.com/office/drawing/2014/main" id="{212142AD-A720-0286-1CC4-74EA4524ABA7}"/>
              </a:ext>
            </a:extLst>
          </xdr:cNvPr>
          <xdr:cNvSpPr/>
        </xdr:nvSpPr>
        <xdr:spPr>
          <a:xfrm>
            <a:off x="10590198" y="11506463"/>
            <a:ext cx="294893" cy="288607"/>
          </a:xfrm>
          <a:custGeom>
            <a:avLst/>
            <a:gdLst>
              <a:gd name="connsiteX0" fmla="*/ 150686 w 294893"/>
              <a:gd name="connsiteY0" fmla="*/ 89344 h 288607"/>
              <a:gd name="connsiteX1" fmla="*/ 164878 w 294893"/>
              <a:gd name="connsiteY1" fmla="*/ 60293 h 288607"/>
              <a:gd name="connsiteX2" fmla="*/ 154591 w 294893"/>
              <a:gd name="connsiteY2" fmla="*/ 38767 h 288607"/>
              <a:gd name="connsiteX3" fmla="*/ 126682 w 294893"/>
              <a:gd name="connsiteY3" fmla="*/ 29623 h 288607"/>
              <a:gd name="connsiteX4" fmla="*/ 89630 w 294893"/>
              <a:gd name="connsiteY4" fmla="*/ 43910 h 288607"/>
              <a:gd name="connsiteX5" fmla="*/ 84296 w 294893"/>
              <a:gd name="connsiteY5" fmla="*/ 59817 h 288607"/>
              <a:gd name="connsiteX6" fmla="*/ 92392 w 294893"/>
              <a:gd name="connsiteY6" fmla="*/ 82296 h 288607"/>
              <a:gd name="connsiteX7" fmla="*/ 119348 w 294893"/>
              <a:gd name="connsiteY7" fmla="*/ 110395 h 288607"/>
              <a:gd name="connsiteX8" fmla="*/ 150686 w 294893"/>
              <a:gd name="connsiteY8" fmla="*/ 89344 h 288607"/>
              <a:gd name="connsiteX9" fmla="*/ 154114 w 294893"/>
              <a:gd name="connsiteY9" fmla="*/ 248983 h 288607"/>
              <a:gd name="connsiteX10" fmla="*/ 183546 w 294893"/>
              <a:gd name="connsiteY10" fmla="*/ 227076 h 288607"/>
              <a:gd name="connsiteX11" fmla="*/ 103727 w 294893"/>
              <a:gd name="connsiteY11" fmla="*/ 149257 h 288607"/>
              <a:gd name="connsiteX12" fmla="*/ 59817 w 294893"/>
              <a:gd name="connsiteY12" fmla="*/ 176879 h 288607"/>
              <a:gd name="connsiteX13" fmla="*/ 44101 w 294893"/>
              <a:gd name="connsiteY13" fmla="*/ 212026 h 288607"/>
              <a:gd name="connsiteX14" fmla="*/ 64579 w 294893"/>
              <a:gd name="connsiteY14" fmla="*/ 246697 h 288607"/>
              <a:gd name="connsiteX15" fmla="*/ 108395 w 294893"/>
              <a:gd name="connsiteY15" fmla="*/ 258699 h 288607"/>
              <a:gd name="connsiteX16" fmla="*/ 154114 w 294893"/>
              <a:gd name="connsiteY16" fmla="*/ 248983 h 288607"/>
              <a:gd name="connsiteX17" fmla="*/ 49816 w 294893"/>
              <a:gd name="connsiteY17" fmla="*/ 90964 h 288607"/>
              <a:gd name="connsiteX18" fmla="*/ 42196 w 294893"/>
              <a:gd name="connsiteY18" fmla="*/ 63722 h 288607"/>
              <a:gd name="connsiteX19" fmla="*/ 65246 w 294893"/>
              <a:gd name="connsiteY19" fmla="*/ 18193 h 288607"/>
              <a:gd name="connsiteX20" fmla="*/ 127063 w 294893"/>
              <a:gd name="connsiteY20" fmla="*/ 0 h 288607"/>
              <a:gd name="connsiteX21" fmla="*/ 184499 w 294893"/>
              <a:gd name="connsiteY21" fmla="*/ 16859 h 288607"/>
              <a:gd name="connsiteX22" fmla="*/ 205264 w 294893"/>
              <a:gd name="connsiteY22" fmla="*/ 57150 h 288607"/>
              <a:gd name="connsiteX23" fmla="*/ 183832 w 294893"/>
              <a:gd name="connsiteY23" fmla="*/ 104965 h 288607"/>
              <a:gd name="connsiteX24" fmla="*/ 142018 w 294893"/>
              <a:gd name="connsiteY24" fmla="*/ 132588 h 288607"/>
              <a:gd name="connsiteX25" fmla="*/ 206407 w 294893"/>
              <a:gd name="connsiteY25" fmla="*/ 194024 h 288607"/>
              <a:gd name="connsiteX26" fmla="*/ 214693 w 294893"/>
              <a:gd name="connsiteY26" fmla="*/ 170974 h 288607"/>
              <a:gd name="connsiteX27" fmla="*/ 219456 w 294893"/>
              <a:gd name="connsiteY27" fmla="*/ 149542 h 288607"/>
              <a:gd name="connsiteX28" fmla="*/ 261651 w 294893"/>
              <a:gd name="connsiteY28" fmla="*/ 149542 h 288607"/>
              <a:gd name="connsiteX29" fmla="*/ 245269 w 294893"/>
              <a:gd name="connsiteY29" fmla="*/ 201739 h 288607"/>
              <a:gd name="connsiteX30" fmla="*/ 233076 w 294893"/>
              <a:gd name="connsiteY30" fmla="*/ 221837 h 288607"/>
              <a:gd name="connsiteX31" fmla="*/ 294894 w 294893"/>
              <a:gd name="connsiteY31" fmla="*/ 281940 h 288607"/>
              <a:gd name="connsiteX32" fmla="*/ 240030 w 294893"/>
              <a:gd name="connsiteY32" fmla="*/ 281940 h 288607"/>
              <a:gd name="connsiteX33" fmla="*/ 206883 w 294893"/>
              <a:gd name="connsiteY33" fmla="*/ 250412 h 288607"/>
              <a:gd name="connsiteX34" fmla="*/ 170783 w 294893"/>
              <a:gd name="connsiteY34" fmla="*/ 274987 h 288607"/>
              <a:gd name="connsiteX35" fmla="*/ 104965 w 294893"/>
              <a:gd name="connsiteY35" fmla="*/ 288607 h 288607"/>
              <a:gd name="connsiteX36" fmla="*/ 24860 w 294893"/>
              <a:gd name="connsiteY36" fmla="*/ 264890 h 288607"/>
              <a:gd name="connsiteX37" fmla="*/ 0 w 294893"/>
              <a:gd name="connsiteY37" fmla="*/ 211741 h 288607"/>
              <a:gd name="connsiteX38" fmla="*/ 24289 w 294893"/>
              <a:gd name="connsiteY38" fmla="*/ 158401 h 288607"/>
              <a:gd name="connsiteX39" fmla="*/ 79724 w 294893"/>
              <a:gd name="connsiteY39" fmla="*/ 125825 h 288607"/>
              <a:gd name="connsiteX40" fmla="*/ 49816 w 294893"/>
              <a:gd name="connsiteY40" fmla="*/ 90964 h 2886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294893" h="288607">
                <a:moveTo>
                  <a:pt x="150686" y="89344"/>
                </a:moveTo>
                <a:cubicBezTo>
                  <a:pt x="160115" y="80486"/>
                  <a:pt x="164878" y="70866"/>
                  <a:pt x="164878" y="60293"/>
                </a:cubicBezTo>
                <a:cubicBezTo>
                  <a:pt x="164878" y="51911"/>
                  <a:pt x="161544" y="44767"/>
                  <a:pt x="154591" y="38767"/>
                </a:cubicBezTo>
                <a:cubicBezTo>
                  <a:pt x="147732" y="32671"/>
                  <a:pt x="138398" y="29623"/>
                  <a:pt x="126682" y="29623"/>
                </a:cubicBezTo>
                <a:cubicBezTo>
                  <a:pt x="108871" y="29623"/>
                  <a:pt x="96583" y="34385"/>
                  <a:pt x="89630" y="43910"/>
                </a:cubicBezTo>
                <a:cubicBezTo>
                  <a:pt x="86106" y="48673"/>
                  <a:pt x="84296" y="54007"/>
                  <a:pt x="84296" y="59817"/>
                </a:cubicBezTo>
                <a:cubicBezTo>
                  <a:pt x="84296" y="67627"/>
                  <a:pt x="86963" y="75247"/>
                  <a:pt x="92392" y="82296"/>
                </a:cubicBezTo>
                <a:cubicBezTo>
                  <a:pt x="97821" y="89440"/>
                  <a:pt x="106775" y="98774"/>
                  <a:pt x="119348" y="110395"/>
                </a:cubicBezTo>
                <a:cubicBezTo>
                  <a:pt x="134588" y="101632"/>
                  <a:pt x="144970" y="94679"/>
                  <a:pt x="150686" y="89344"/>
                </a:cubicBezTo>
                <a:moveTo>
                  <a:pt x="154114" y="248983"/>
                </a:moveTo>
                <a:cubicBezTo>
                  <a:pt x="166878" y="242506"/>
                  <a:pt x="176689" y="235172"/>
                  <a:pt x="183546" y="227076"/>
                </a:cubicBezTo>
                <a:lnTo>
                  <a:pt x="103727" y="149257"/>
                </a:lnTo>
                <a:cubicBezTo>
                  <a:pt x="81343" y="161258"/>
                  <a:pt x="66675" y="170497"/>
                  <a:pt x="59817" y="176879"/>
                </a:cubicBezTo>
                <a:cubicBezTo>
                  <a:pt x="49244" y="186499"/>
                  <a:pt x="44101" y="198215"/>
                  <a:pt x="44101" y="212026"/>
                </a:cubicBezTo>
                <a:cubicBezTo>
                  <a:pt x="44101" y="226981"/>
                  <a:pt x="50863" y="238601"/>
                  <a:pt x="64579" y="246697"/>
                </a:cubicBezTo>
                <a:cubicBezTo>
                  <a:pt x="78200" y="254698"/>
                  <a:pt x="92869" y="258699"/>
                  <a:pt x="108395" y="258699"/>
                </a:cubicBezTo>
                <a:cubicBezTo>
                  <a:pt x="126111" y="258699"/>
                  <a:pt x="141351" y="255556"/>
                  <a:pt x="154114" y="248983"/>
                </a:cubicBezTo>
                <a:moveTo>
                  <a:pt x="49816" y="90964"/>
                </a:moveTo>
                <a:cubicBezTo>
                  <a:pt x="44767" y="81534"/>
                  <a:pt x="42196" y="72390"/>
                  <a:pt x="42196" y="63722"/>
                </a:cubicBezTo>
                <a:cubicBezTo>
                  <a:pt x="42196" y="45529"/>
                  <a:pt x="49911" y="30289"/>
                  <a:pt x="65246" y="18193"/>
                </a:cubicBezTo>
                <a:cubicBezTo>
                  <a:pt x="80581" y="6001"/>
                  <a:pt x="101251" y="0"/>
                  <a:pt x="127063" y="0"/>
                </a:cubicBezTo>
                <a:cubicBezTo>
                  <a:pt x="151543" y="0"/>
                  <a:pt x="170688" y="5620"/>
                  <a:pt x="184499" y="16859"/>
                </a:cubicBezTo>
                <a:cubicBezTo>
                  <a:pt x="198311" y="28099"/>
                  <a:pt x="205264" y="41624"/>
                  <a:pt x="205264" y="57150"/>
                </a:cubicBezTo>
                <a:cubicBezTo>
                  <a:pt x="205264" y="75343"/>
                  <a:pt x="198120" y="91154"/>
                  <a:pt x="183832" y="104965"/>
                </a:cubicBezTo>
                <a:cubicBezTo>
                  <a:pt x="175450" y="112871"/>
                  <a:pt x="161639" y="122015"/>
                  <a:pt x="142018" y="132588"/>
                </a:cubicBezTo>
                <a:lnTo>
                  <a:pt x="206407" y="194024"/>
                </a:lnTo>
                <a:cubicBezTo>
                  <a:pt x="210407" y="183737"/>
                  <a:pt x="213074" y="176022"/>
                  <a:pt x="214693" y="170974"/>
                </a:cubicBezTo>
                <a:cubicBezTo>
                  <a:pt x="216312" y="165830"/>
                  <a:pt x="217837" y="158782"/>
                  <a:pt x="219456" y="149542"/>
                </a:cubicBezTo>
                <a:lnTo>
                  <a:pt x="261651" y="149542"/>
                </a:lnTo>
                <a:cubicBezTo>
                  <a:pt x="258985" y="167735"/>
                  <a:pt x="253555" y="185071"/>
                  <a:pt x="245269" y="201739"/>
                </a:cubicBezTo>
                <a:cubicBezTo>
                  <a:pt x="237077" y="218313"/>
                  <a:pt x="233076" y="224980"/>
                  <a:pt x="233076" y="221837"/>
                </a:cubicBezTo>
                <a:lnTo>
                  <a:pt x="294894" y="281940"/>
                </a:lnTo>
                <a:lnTo>
                  <a:pt x="240030" y="281940"/>
                </a:lnTo>
                <a:lnTo>
                  <a:pt x="206883" y="250412"/>
                </a:lnTo>
                <a:cubicBezTo>
                  <a:pt x="193738" y="261652"/>
                  <a:pt x="181737" y="269843"/>
                  <a:pt x="170783" y="274987"/>
                </a:cubicBezTo>
                <a:cubicBezTo>
                  <a:pt x="151733" y="284131"/>
                  <a:pt x="129826" y="288607"/>
                  <a:pt x="104965" y="288607"/>
                </a:cubicBezTo>
                <a:cubicBezTo>
                  <a:pt x="68199" y="288607"/>
                  <a:pt x="41624" y="280702"/>
                  <a:pt x="24860" y="264890"/>
                </a:cubicBezTo>
                <a:cubicBezTo>
                  <a:pt x="8287" y="249079"/>
                  <a:pt x="0" y="231362"/>
                  <a:pt x="0" y="211741"/>
                </a:cubicBezTo>
                <a:cubicBezTo>
                  <a:pt x="0" y="190309"/>
                  <a:pt x="8001" y="172593"/>
                  <a:pt x="24289" y="158401"/>
                </a:cubicBezTo>
                <a:cubicBezTo>
                  <a:pt x="34194" y="149828"/>
                  <a:pt x="52673" y="138874"/>
                  <a:pt x="79724" y="125825"/>
                </a:cubicBezTo>
                <a:cubicBezTo>
                  <a:pt x="64865" y="112014"/>
                  <a:pt x="54864" y="100393"/>
                  <a:pt x="49816" y="90964"/>
                </a:cubicBezTo>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1" name="Forma Livre: Forma 20">
            <a:extLst>
              <a:ext uri="{FF2B5EF4-FFF2-40B4-BE49-F238E27FC236}">
                <a16:creationId xmlns:a16="http://schemas.microsoft.com/office/drawing/2014/main" id="{32CBEB37-901B-9A15-C4CB-739FBF337005}"/>
              </a:ext>
            </a:extLst>
          </xdr:cNvPr>
          <xdr:cNvSpPr/>
        </xdr:nvSpPr>
        <xdr:spPr>
          <a:xfrm>
            <a:off x="11003964" y="11505511"/>
            <a:ext cx="338422" cy="282797"/>
          </a:xfrm>
          <a:custGeom>
            <a:avLst/>
            <a:gdLst>
              <a:gd name="connsiteX0" fmla="*/ 95 w 338422"/>
              <a:gd name="connsiteY0" fmla="*/ 0 h 282797"/>
              <a:gd name="connsiteX1" fmla="*/ 68008 w 338422"/>
              <a:gd name="connsiteY1" fmla="*/ 0 h 282797"/>
              <a:gd name="connsiteX2" fmla="*/ 169354 w 338422"/>
              <a:gd name="connsiteY2" fmla="*/ 239078 h 282797"/>
              <a:gd name="connsiteX3" fmla="*/ 270891 w 338422"/>
              <a:gd name="connsiteY3" fmla="*/ 0 h 282797"/>
              <a:gd name="connsiteX4" fmla="*/ 338423 w 338422"/>
              <a:gd name="connsiteY4" fmla="*/ 0 h 282797"/>
              <a:gd name="connsiteX5" fmla="*/ 338423 w 338422"/>
              <a:gd name="connsiteY5" fmla="*/ 282797 h 282797"/>
              <a:gd name="connsiteX6" fmla="*/ 293370 w 338422"/>
              <a:gd name="connsiteY6" fmla="*/ 282797 h 282797"/>
              <a:gd name="connsiteX7" fmla="*/ 293370 w 338422"/>
              <a:gd name="connsiteY7" fmla="*/ 115729 h 282797"/>
              <a:gd name="connsiteX8" fmla="*/ 294418 w 338422"/>
              <a:gd name="connsiteY8" fmla="*/ 87058 h 282797"/>
              <a:gd name="connsiteX9" fmla="*/ 295275 w 338422"/>
              <a:gd name="connsiteY9" fmla="*/ 44101 h 282797"/>
              <a:gd name="connsiteX10" fmla="*/ 192786 w 338422"/>
              <a:gd name="connsiteY10" fmla="*/ 282797 h 282797"/>
              <a:gd name="connsiteX11" fmla="*/ 145256 w 338422"/>
              <a:gd name="connsiteY11" fmla="*/ 282797 h 282797"/>
              <a:gd name="connsiteX12" fmla="*/ 43148 w 338422"/>
              <a:gd name="connsiteY12" fmla="*/ 44101 h 282797"/>
              <a:gd name="connsiteX13" fmla="*/ 43148 w 338422"/>
              <a:gd name="connsiteY13" fmla="*/ 52864 h 282797"/>
              <a:gd name="connsiteX14" fmla="*/ 44101 w 338422"/>
              <a:gd name="connsiteY14" fmla="*/ 84582 h 282797"/>
              <a:gd name="connsiteX15" fmla="*/ 45053 w 338422"/>
              <a:gd name="connsiteY15" fmla="*/ 115729 h 282797"/>
              <a:gd name="connsiteX16" fmla="*/ 45053 w 338422"/>
              <a:gd name="connsiteY16" fmla="*/ 282797 h 282797"/>
              <a:gd name="connsiteX17" fmla="*/ 0 w 338422"/>
              <a:gd name="connsiteY17" fmla="*/ 282797 h 282797"/>
              <a:gd name="connsiteX18" fmla="*/ 0 w 338422"/>
              <a:gd name="connsiteY18"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338422" h="282797">
                <a:moveTo>
                  <a:pt x="95" y="0"/>
                </a:moveTo>
                <a:lnTo>
                  <a:pt x="68008" y="0"/>
                </a:lnTo>
                <a:lnTo>
                  <a:pt x="169354" y="239078"/>
                </a:lnTo>
                <a:lnTo>
                  <a:pt x="270891" y="0"/>
                </a:lnTo>
                <a:lnTo>
                  <a:pt x="338423" y="0"/>
                </a:lnTo>
                <a:lnTo>
                  <a:pt x="338423" y="282797"/>
                </a:lnTo>
                <a:lnTo>
                  <a:pt x="293370" y="282797"/>
                </a:lnTo>
                <a:lnTo>
                  <a:pt x="293370" y="115729"/>
                </a:lnTo>
                <a:cubicBezTo>
                  <a:pt x="293370" y="110014"/>
                  <a:pt x="293751" y="100394"/>
                  <a:pt x="294418" y="87058"/>
                </a:cubicBezTo>
                <a:cubicBezTo>
                  <a:pt x="294989" y="73723"/>
                  <a:pt x="295275" y="59341"/>
                  <a:pt x="295275" y="44101"/>
                </a:cubicBezTo>
                <a:lnTo>
                  <a:pt x="192786" y="282797"/>
                </a:lnTo>
                <a:lnTo>
                  <a:pt x="145256" y="282797"/>
                </a:lnTo>
                <a:lnTo>
                  <a:pt x="43148" y="44101"/>
                </a:lnTo>
                <a:lnTo>
                  <a:pt x="43148" y="52864"/>
                </a:lnTo>
                <a:cubicBezTo>
                  <a:pt x="43148" y="59722"/>
                  <a:pt x="43529" y="70295"/>
                  <a:pt x="44101" y="84582"/>
                </a:cubicBezTo>
                <a:cubicBezTo>
                  <a:pt x="44767" y="98774"/>
                  <a:pt x="45053" y="109156"/>
                  <a:pt x="45053" y="115729"/>
                </a:cubicBezTo>
                <a:lnTo>
                  <a:pt x="45053" y="282797"/>
                </a:lnTo>
                <a:lnTo>
                  <a:pt x="0" y="282797"/>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2" name="Forma Livre: Forma 21">
            <a:extLst>
              <a:ext uri="{FF2B5EF4-FFF2-40B4-BE49-F238E27FC236}">
                <a16:creationId xmlns:a16="http://schemas.microsoft.com/office/drawing/2014/main" id="{F4C13054-D840-9A9C-A2AA-A39D03756F4C}"/>
              </a:ext>
            </a:extLst>
          </xdr:cNvPr>
          <xdr:cNvSpPr/>
        </xdr:nvSpPr>
        <xdr:spPr>
          <a:xfrm>
            <a:off x="11369914" y="11578377"/>
            <a:ext cx="234314" cy="209931"/>
          </a:xfrm>
          <a:custGeom>
            <a:avLst/>
            <a:gdLst>
              <a:gd name="connsiteX0" fmla="*/ 157829 w 234314"/>
              <a:gd name="connsiteY0" fmla="*/ 123635 h 209931"/>
              <a:gd name="connsiteX1" fmla="*/ 117443 w 234314"/>
              <a:gd name="connsiteY1" fmla="*/ 31052 h 209931"/>
              <a:gd name="connsiteX2" fmla="*/ 75533 w 234314"/>
              <a:gd name="connsiteY2" fmla="*/ 123635 h 209931"/>
              <a:gd name="connsiteX3" fmla="*/ 157829 w 234314"/>
              <a:gd name="connsiteY3" fmla="*/ 123635 h 209931"/>
              <a:gd name="connsiteX4" fmla="*/ 98965 w 234314"/>
              <a:gd name="connsiteY4" fmla="*/ 0 h 209931"/>
              <a:gd name="connsiteX5" fmla="*/ 139065 w 234314"/>
              <a:gd name="connsiteY5" fmla="*/ 0 h 209931"/>
              <a:gd name="connsiteX6" fmla="*/ 234315 w 234314"/>
              <a:gd name="connsiteY6" fmla="*/ 209931 h 209931"/>
              <a:gd name="connsiteX7" fmla="*/ 195358 w 234314"/>
              <a:gd name="connsiteY7" fmla="*/ 209931 h 209931"/>
              <a:gd name="connsiteX8" fmla="*/ 167830 w 234314"/>
              <a:gd name="connsiteY8" fmla="*/ 146685 h 209931"/>
              <a:gd name="connsiteX9" fmla="*/ 65056 w 234314"/>
              <a:gd name="connsiteY9" fmla="*/ 146685 h 209931"/>
              <a:gd name="connsiteX10" fmla="*/ 36481 w 234314"/>
              <a:gd name="connsiteY10" fmla="*/ 209931 h 209931"/>
              <a:gd name="connsiteX11" fmla="*/ 0 w 234314"/>
              <a:gd name="connsiteY11" fmla="*/ 209931 h 209931"/>
              <a:gd name="connsiteX12" fmla="*/ 98965 w 234314"/>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4" h="209931">
                <a:moveTo>
                  <a:pt x="157829" y="123635"/>
                </a:moveTo>
                <a:lnTo>
                  <a:pt x="117443" y="31052"/>
                </a:lnTo>
                <a:lnTo>
                  <a:pt x="75533" y="123635"/>
                </a:lnTo>
                <a:lnTo>
                  <a:pt x="157829" y="123635"/>
                </a:lnTo>
                <a:close/>
                <a:moveTo>
                  <a:pt x="98965" y="0"/>
                </a:moveTo>
                <a:lnTo>
                  <a:pt x="139065" y="0"/>
                </a:lnTo>
                <a:lnTo>
                  <a:pt x="234315" y="209931"/>
                </a:lnTo>
                <a:lnTo>
                  <a:pt x="195358" y="209931"/>
                </a:lnTo>
                <a:lnTo>
                  <a:pt x="167830"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3" name="Forma Livre: Forma 22">
            <a:extLst>
              <a:ext uri="{FF2B5EF4-FFF2-40B4-BE49-F238E27FC236}">
                <a16:creationId xmlns:a16="http://schemas.microsoft.com/office/drawing/2014/main" id="{82FE75D9-833F-C4EC-6E1F-4535DB1147C3}"/>
              </a:ext>
            </a:extLst>
          </xdr:cNvPr>
          <xdr:cNvSpPr/>
        </xdr:nvSpPr>
        <xdr:spPr>
          <a:xfrm>
            <a:off x="11635090" y="11578377"/>
            <a:ext cx="213836" cy="209835"/>
          </a:xfrm>
          <a:custGeom>
            <a:avLst/>
            <a:gdLst>
              <a:gd name="connsiteX0" fmla="*/ 115253 w 213836"/>
              <a:gd name="connsiteY0" fmla="*/ 96298 h 209835"/>
              <a:gd name="connsiteX1" fmla="*/ 153448 w 213836"/>
              <a:gd name="connsiteY1" fmla="*/ 88297 h 209835"/>
              <a:gd name="connsiteX2" fmla="*/ 167450 w 213836"/>
              <a:gd name="connsiteY2" fmla="*/ 59627 h 209835"/>
              <a:gd name="connsiteX3" fmla="*/ 147828 w 213836"/>
              <a:gd name="connsiteY3" fmla="*/ 29146 h 209835"/>
              <a:gd name="connsiteX4" fmla="*/ 119825 w 213836"/>
              <a:gd name="connsiteY4" fmla="*/ 24860 h 209835"/>
              <a:gd name="connsiteX5" fmla="*/ 36005 w 213836"/>
              <a:gd name="connsiteY5" fmla="*/ 24860 h 209835"/>
              <a:gd name="connsiteX6" fmla="*/ 36005 w 213836"/>
              <a:gd name="connsiteY6" fmla="*/ 96298 h 209835"/>
              <a:gd name="connsiteX7" fmla="*/ 115253 w 213836"/>
              <a:gd name="connsiteY7" fmla="*/ 96298 h 209835"/>
              <a:gd name="connsiteX8" fmla="*/ 95 w 213836"/>
              <a:gd name="connsiteY8" fmla="*/ 0 h 209835"/>
              <a:gd name="connsiteX9" fmla="*/ 119158 w 213836"/>
              <a:gd name="connsiteY9" fmla="*/ 0 h 209835"/>
              <a:gd name="connsiteX10" fmla="*/ 167640 w 213836"/>
              <a:gd name="connsiteY10" fmla="*/ 6953 h 209835"/>
              <a:gd name="connsiteX11" fmla="*/ 203835 w 213836"/>
              <a:gd name="connsiteY11" fmla="*/ 56674 h 209835"/>
              <a:gd name="connsiteX12" fmla="*/ 194025 w 213836"/>
              <a:gd name="connsiteY12" fmla="*/ 87439 h 209835"/>
              <a:gd name="connsiteX13" fmla="*/ 166593 w 213836"/>
              <a:gd name="connsiteY13" fmla="*/ 106775 h 209835"/>
              <a:gd name="connsiteX14" fmla="*/ 189738 w 213836"/>
              <a:gd name="connsiteY14" fmla="*/ 119920 h 209835"/>
              <a:gd name="connsiteX15" fmla="*/ 198501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50 w 213836"/>
              <a:gd name="connsiteY22" fmla="*/ 186404 h 209835"/>
              <a:gd name="connsiteX23" fmla="*/ 163545 w 213836"/>
              <a:gd name="connsiteY23" fmla="*/ 151257 h 209835"/>
              <a:gd name="connsiteX24" fmla="*/ 145066 w 213836"/>
              <a:gd name="connsiteY24" fmla="*/ 123635 h 209835"/>
              <a:gd name="connsiteX25" fmla="*/ 114110 w 213836"/>
              <a:gd name="connsiteY25" fmla="*/ 119729 h 209835"/>
              <a:gd name="connsiteX26" fmla="*/ 35909 w 213836"/>
              <a:gd name="connsiteY26" fmla="*/ 119729 h 209835"/>
              <a:gd name="connsiteX27" fmla="*/ 35909 w 213836"/>
              <a:gd name="connsiteY27" fmla="*/ 209836 h 209835"/>
              <a:gd name="connsiteX28" fmla="*/ 0 w 213836"/>
              <a:gd name="connsiteY28" fmla="*/ 209836 h 209835"/>
              <a:gd name="connsiteX29" fmla="*/ 0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253" y="96298"/>
                </a:moveTo>
                <a:cubicBezTo>
                  <a:pt x="131350" y="96298"/>
                  <a:pt x="144019" y="93631"/>
                  <a:pt x="153448" y="88297"/>
                </a:cubicBezTo>
                <a:cubicBezTo>
                  <a:pt x="162783" y="82963"/>
                  <a:pt x="167450" y="73343"/>
                  <a:pt x="167450" y="59627"/>
                </a:cubicBezTo>
                <a:cubicBezTo>
                  <a:pt x="167450" y="44672"/>
                  <a:pt x="160877" y="34480"/>
                  <a:pt x="147828" y="29146"/>
                </a:cubicBezTo>
                <a:cubicBezTo>
                  <a:pt x="140875" y="26289"/>
                  <a:pt x="131445" y="24860"/>
                  <a:pt x="119825" y="24860"/>
                </a:cubicBezTo>
                <a:lnTo>
                  <a:pt x="36005" y="24860"/>
                </a:lnTo>
                <a:lnTo>
                  <a:pt x="36005" y="96298"/>
                </a:lnTo>
                <a:lnTo>
                  <a:pt x="115253" y="96298"/>
                </a:lnTo>
                <a:close/>
                <a:moveTo>
                  <a:pt x="95" y="0"/>
                </a:moveTo>
                <a:lnTo>
                  <a:pt x="119158" y="0"/>
                </a:lnTo>
                <a:cubicBezTo>
                  <a:pt x="138779" y="0"/>
                  <a:pt x="154972" y="2286"/>
                  <a:pt x="167640" y="6953"/>
                </a:cubicBezTo>
                <a:cubicBezTo>
                  <a:pt x="191834" y="16002"/>
                  <a:pt x="203835" y="32576"/>
                  <a:pt x="203835" y="56674"/>
                </a:cubicBezTo>
                <a:cubicBezTo>
                  <a:pt x="203835" y="69247"/>
                  <a:pt x="200596" y="79438"/>
                  <a:pt x="194025" y="87439"/>
                </a:cubicBezTo>
                <a:cubicBezTo>
                  <a:pt x="187453" y="95440"/>
                  <a:pt x="178308" y="101918"/>
                  <a:pt x="166593" y="106775"/>
                </a:cubicBezTo>
                <a:cubicBezTo>
                  <a:pt x="176879" y="110109"/>
                  <a:pt x="184595" y="114395"/>
                  <a:pt x="189738" y="119920"/>
                </a:cubicBezTo>
                <a:cubicBezTo>
                  <a:pt x="194977" y="125349"/>
                  <a:pt x="197834" y="134112"/>
                  <a:pt x="198501" y="146304"/>
                </a:cubicBezTo>
                <a:lnTo>
                  <a:pt x="199930" y="174403"/>
                </a:lnTo>
                <a:cubicBezTo>
                  <a:pt x="200311" y="182404"/>
                  <a:pt x="201073" y="188404"/>
                  <a:pt x="202406" y="192214"/>
                </a:cubicBezTo>
                <a:cubicBezTo>
                  <a:pt x="204597" y="198882"/>
                  <a:pt x="208407" y="203168"/>
                  <a:pt x="213836" y="204978"/>
                </a:cubicBezTo>
                <a:lnTo>
                  <a:pt x="213836" y="209836"/>
                </a:lnTo>
                <a:lnTo>
                  <a:pt x="169831" y="209836"/>
                </a:lnTo>
                <a:cubicBezTo>
                  <a:pt x="168688" y="208026"/>
                  <a:pt x="167736" y="205740"/>
                  <a:pt x="167069" y="202787"/>
                </a:cubicBezTo>
                <a:cubicBezTo>
                  <a:pt x="166497" y="199930"/>
                  <a:pt x="165831" y="194405"/>
                  <a:pt x="165450" y="186404"/>
                </a:cubicBezTo>
                <a:lnTo>
                  <a:pt x="163545" y="151257"/>
                </a:lnTo>
                <a:cubicBezTo>
                  <a:pt x="162687" y="137446"/>
                  <a:pt x="156591" y="128302"/>
                  <a:pt x="145066" y="123635"/>
                </a:cubicBezTo>
                <a:cubicBezTo>
                  <a:pt x="138494" y="120968"/>
                  <a:pt x="128207" y="119729"/>
                  <a:pt x="114110" y="119729"/>
                </a:cubicBezTo>
                <a:lnTo>
                  <a:pt x="35909" y="119729"/>
                </a:lnTo>
                <a:lnTo>
                  <a:pt x="35909" y="209836"/>
                </a:lnTo>
                <a:lnTo>
                  <a:pt x="0" y="209836"/>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4" name="Forma Livre: Forma 23">
            <a:extLst>
              <a:ext uri="{FF2B5EF4-FFF2-40B4-BE49-F238E27FC236}">
                <a16:creationId xmlns:a16="http://schemas.microsoft.com/office/drawing/2014/main" id="{62FAC3DA-EDB8-5E5C-00E4-05B67E36D739}"/>
              </a:ext>
            </a:extLst>
          </xdr:cNvPr>
          <xdr:cNvSpPr/>
        </xdr:nvSpPr>
        <xdr:spPr>
          <a:xfrm>
            <a:off x="11870161" y="11573614"/>
            <a:ext cx="203841" cy="220789"/>
          </a:xfrm>
          <a:custGeom>
            <a:avLst/>
            <a:gdLst>
              <a:gd name="connsiteX0" fmla="*/ 33725 w 203841"/>
              <a:gd name="connsiteY0" fmla="*/ 146971 h 220789"/>
              <a:gd name="connsiteX1" fmla="*/ 43822 w 203841"/>
              <a:gd name="connsiteY1" fmla="*/ 176022 h 220789"/>
              <a:gd name="connsiteX2" fmla="*/ 103638 w 203841"/>
              <a:gd name="connsiteY2" fmla="*/ 196977 h 220789"/>
              <a:gd name="connsiteX3" fmla="*/ 138691 w 203841"/>
              <a:gd name="connsiteY3" fmla="*/ 192310 h 220789"/>
              <a:gd name="connsiteX4" fmla="*/ 169266 w 203841"/>
              <a:gd name="connsiteY4" fmla="*/ 160782 h 220789"/>
              <a:gd name="connsiteX5" fmla="*/ 156216 w 203841"/>
              <a:gd name="connsiteY5" fmla="*/ 136303 h 220789"/>
              <a:gd name="connsiteX6" fmla="*/ 115068 w 203841"/>
              <a:gd name="connsiteY6" fmla="*/ 123920 h 220789"/>
              <a:gd name="connsiteX7" fmla="*/ 80493 w 203841"/>
              <a:gd name="connsiteY7" fmla="*/ 117538 h 220789"/>
              <a:gd name="connsiteX8" fmla="*/ 32868 w 203841"/>
              <a:gd name="connsiteY8" fmla="*/ 103727 h 220789"/>
              <a:gd name="connsiteX9" fmla="*/ 8674 w 203841"/>
              <a:gd name="connsiteY9" fmla="*/ 64484 h 220789"/>
              <a:gd name="connsiteX10" fmla="*/ 32487 w 203841"/>
              <a:gd name="connsiteY10" fmla="*/ 18097 h 220789"/>
              <a:gd name="connsiteX11" fmla="*/ 99924 w 203841"/>
              <a:gd name="connsiteY11" fmla="*/ 0 h 220789"/>
              <a:gd name="connsiteX12" fmla="*/ 168123 w 203841"/>
              <a:gd name="connsiteY12" fmla="*/ 15907 h 220789"/>
              <a:gd name="connsiteX13" fmla="*/ 196126 w 203841"/>
              <a:gd name="connsiteY13" fmla="*/ 66675 h 220789"/>
              <a:gd name="connsiteX14" fmla="*/ 162503 w 203841"/>
              <a:gd name="connsiteY14" fmla="*/ 66675 h 220789"/>
              <a:gd name="connsiteX15" fmla="*/ 151549 w 203841"/>
              <a:gd name="connsiteY15" fmla="*/ 40862 h 220789"/>
              <a:gd name="connsiteX16" fmla="*/ 98781 w 203841"/>
              <a:gd name="connsiteY16" fmla="*/ 24479 h 220789"/>
              <a:gd name="connsiteX17" fmla="*/ 55442 w 203841"/>
              <a:gd name="connsiteY17" fmla="*/ 35052 h 220789"/>
              <a:gd name="connsiteX18" fmla="*/ 42298 w 203841"/>
              <a:gd name="connsiteY18" fmla="*/ 59627 h 220789"/>
              <a:gd name="connsiteX19" fmla="*/ 57823 w 203841"/>
              <a:gd name="connsiteY19" fmla="*/ 82105 h 220789"/>
              <a:gd name="connsiteX20" fmla="*/ 104020 w 203841"/>
              <a:gd name="connsiteY20" fmla="*/ 93536 h 220789"/>
              <a:gd name="connsiteX21" fmla="*/ 139643 w 203841"/>
              <a:gd name="connsiteY21" fmla="*/ 100013 h 220789"/>
              <a:gd name="connsiteX22" fmla="*/ 179553 w 203841"/>
              <a:gd name="connsiteY22" fmla="*/ 113538 h 220789"/>
              <a:gd name="connsiteX23" fmla="*/ 203841 w 203841"/>
              <a:gd name="connsiteY23" fmla="*/ 156020 h 220789"/>
              <a:gd name="connsiteX24" fmla="*/ 172981 w 203841"/>
              <a:gd name="connsiteY24" fmla="*/ 205835 h 220789"/>
              <a:gd name="connsiteX25" fmla="*/ 101162 w 203841"/>
              <a:gd name="connsiteY25" fmla="*/ 220789 h 220789"/>
              <a:gd name="connsiteX26" fmla="*/ 26486 w 203841"/>
              <a:gd name="connsiteY26" fmla="*/ 200787 h 220789"/>
              <a:gd name="connsiteX27" fmla="*/ 7 w 203841"/>
              <a:gd name="connsiteY27" fmla="*/ 146971 h 220789"/>
              <a:gd name="connsiteX28" fmla="*/ 33725 w 203841"/>
              <a:gd name="connsiteY28" fmla="*/ 146971 h 2207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203841" h="220789">
                <a:moveTo>
                  <a:pt x="33725" y="146971"/>
                </a:moveTo>
                <a:cubicBezTo>
                  <a:pt x="34392" y="158972"/>
                  <a:pt x="37916" y="168593"/>
                  <a:pt x="43822" y="176022"/>
                </a:cubicBezTo>
                <a:cubicBezTo>
                  <a:pt x="55156" y="189929"/>
                  <a:pt x="75159" y="196977"/>
                  <a:pt x="103638" y="196977"/>
                </a:cubicBezTo>
                <a:cubicBezTo>
                  <a:pt x="116497" y="196977"/>
                  <a:pt x="128118" y="195453"/>
                  <a:pt x="138691" y="192310"/>
                </a:cubicBezTo>
                <a:cubicBezTo>
                  <a:pt x="159074" y="186595"/>
                  <a:pt x="169266" y="176022"/>
                  <a:pt x="169266" y="160782"/>
                </a:cubicBezTo>
                <a:cubicBezTo>
                  <a:pt x="169266" y="149352"/>
                  <a:pt x="164885" y="141161"/>
                  <a:pt x="156216" y="136303"/>
                </a:cubicBezTo>
                <a:cubicBezTo>
                  <a:pt x="147454" y="131540"/>
                  <a:pt x="133833" y="127445"/>
                  <a:pt x="115068" y="123920"/>
                </a:cubicBezTo>
                <a:lnTo>
                  <a:pt x="80493" y="117538"/>
                </a:lnTo>
                <a:cubicBezTo>
                  <a:pt x="58014" y="113347"/>
                  <a:pt x="42107" y="108776"/>
                  <a:pt x="32868" y="103727"/>
                </a:cubicBezTo>
                <a:cubicBezTo>
                  <a:pt x="16676" y="94964"/>
                  <a:pt x="8674" y="81820"/>
                  <a:pt x="8674" y="64484"/>
                </a:cubicBezTo>
                <a:cubicBezTo>
                  <a:pt x="8674" y="45625"/>
                  <a:pt x="16676" y="30194"/>
                  <a:pt x="32487" y="18097"/>
                </a:cubicBezTo>
                <a:cubicBezTo>
                  <a:pt x="48298" y="6001"/>
                  <a:pt x="70777" y="0"/>
                  <a:pt x="99924" y="0"/>
                </a:cubicBezTo>
                <a:cubicBezTo>
                  <a:pt x="126594" y="0"/>
                  <a:pt x="149454" y="5334"/>
                  <a:pt x="168123" y="15907"/>
                </a:cubicBezTo>
                <a:cubicBezTo>
                  <a:pt x="186792" y="26479"/>
                  <a:pt x="196126" y="43339"/>
                  <a:pt x="196126" y="66675"/>
                </a:cubicBezTo>
                <a:lnTo>
                  <a:pt x="162503" y="66675"/>
                </a:lnTo>
                <a:cubicBezTo>
                  <a:pt x="160788" y="55531"/>
                  <a:pt x="157264" y="46958"/>
                  <a:pt x="151549" y="40862"/>
                </a:cubicBezTo>
                <a:cubicBezTo>
                  <a:pt x="141167" y="30004"/>
                  <a:pt x="123546" y="24479"/>
                  <a:pt x="98781" y="24479"/>
                </a:cubicBezTo>
                <a:cubicBezTo>
                  <a:pt x="78588" y="24479"/>
                  <a:pt x="64205" y="28004"/>
                  <a:pt x="55442" y="35052"/>
                </a:cubicBezTo>
                <a:cubicBezTo>
                  <a:pt x="46679" y="42101"/>
                  <a:pt x="42298" y="50292"/>
                  <a:pt x="42298" y="59627"/>
                </a:cubicBezTo>
                <a:cubicBezTo>
                  <a:pt x="42298" y="69818"/>
                  <a:pt x="47441" y="77343"/>
                  <a:pt x="57823" y="82105"/>
                </a:cubicBezTo>
                <a:cubicBezTo>
                  <a:pt x="64681" y="85344"/>
                  <a:pt x="80112" y="89059"/>
                  <a:pt x="104020" y="93536"/>
                </a:cubicBezTo>
                <a:lnTo>
                  <a:pt x="139643" y="100013"/>
                </a:lnTo>
                <a:cubicBezTo>
                  <a:pt x="156883" y="103442"/>
                  <a:pt x="170123" y="107918"/>
                  <a:pt x="179553" y="113538"/>
                </a:cubicBezTo>
                <a:cubicBezTo>
                  <a:pt x="195745" y="123349"/>
                  <a:pt x="203841" y="137446"/>
                  <a:pt x="203841" y="156020"/>
                </a:cubicBezTo>
                <a:cubicBezTo>
                  <a:pt x="203841" y="179261"/>
                  <a:pt x="193554" y="195834"/>
                  <a:pt x="172981" y="205835"/>
                </a:cubicBezTo>
                <a:cubicBezTo>
                  <a:pt x="152311" y="215741"/>
                  <a:pt x="128404" y="220789"/>
                  <a:pt x="101162" y="220789"/>
                </a:cubicBezTo>
                <a:cubicBezTo>
                  <a:pt x="69444" y="220789"/>
                  <a:pt x="44488" y="214122"/>
                  <a:pt x="26486" y="200787"/>
                </a:cubicBezTo>
                <a:cubicBezTo>
                  <a:pt x="8484" y="187547"/>
                  <a:pt x="-279" y="169640"/>
                  <a:pt x="7" y="146971"/>
                </a:cubicBezTo>
                <a:lnTo>
                  <a:pt x="33725" y="14697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5" name="Forma Livre: Forma 24">
            <a:extLst>
              <a:ext uri="{FF2B5EF4-FFF2-40B4-BE49-F238E27FC236}">
                <a16:creationId xmlns:a16="http://schemas.microsoft.com/office/drawing/2014/main" id="{7F7BEEF5-C983-9C7D-19F8-C859F6636B50}"/>
              </a:ext>
            </a:extLst>
          </xdr:cNvPr>
          <xdr:cNvSpPr/>
        </xdr:nvSpPr>
        <xdr:spPr>
          <a:xfrm>
            <a:off x="12085242" y="11578377"/>
            <a:ext cx="234315" cy="209931"/>
          </a:xfrm>
          <a:custGeom>
            <a:avLst/>
            <a:gdLst>
              <a:gd name="connsiteX0" fmla="*/ 157925 w 234315"/>
              <a:gd name="connsiteY0" fmla="*/ 123635 h 209931"/>
              <a:gd name="connsiteX1" fmla="*/ 117634 w 234315"/>
              <a:gd name="connsiteY1" fmla="*/ 31052 h 209931"/>
              <a:gd name="connsiteX2" fmla="*/ 75629 w 234315"/>
              <a:gd name="connsiteY2" fmla="*/ 123635 h 209931"/>
              <a:gd name="connsiteX3" fmla="*/ 157925 w 234315"/>
              <a:gd name="connsiteY3" fmla="*/ 123635 h 209931"/>
              <a:gd name="connsiteX4" fmla="*/ 99060 w 234315"/>
              <a:gd name="connsiteY4" fmla="*/ 0 h 209931"/>
              <a:gd name="connsiteX5" fmla="*/ 139161 w 234315"/>
              <a:gd name="connsiteY5" fmla="*/ 0 h 209931"/>
              <a:gd name="connsiteX6" fmla="*/ 234315 w 234315"/>
              <a:gd name="connsiteY6" fmla="*/ 209931 h 209931"/>
              <a:gd name="connsiteX7" fmla="*/ 195358 w 234315"/>
              <a:gd name="connsiteY7" fmla="*/ 209931 h 209931"/>
              <a:gd name="connsiteX8" fmla="*/ 167830 w 234315"/>
              <a:gd name="connsiteY8" fmla="*/ 146685 h 209931"/>
              <a:gd name="connsiteX9" fmla="*/ 65151 w 234315"/>
              <a:gd name="connsiteY9" fmla="*/ 146685 h 209931"/>
              <a:gd name="connsiteX10" fmla="*/ 36481 w 234315"/>
              <a:gd name="connsiteY10" fmla="*/ 209931 h 209931"/>
              <a:gd name="connsiteX11" fmla="*/ 0 w 234315"/>
              <a:gd name="connsiteY11" fmla="*/ 209931 h 209931"/>
              <a:gd name="connsiteX12" fmla="*/ 99060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925" y="123635"/>
                </a:moveTo>
                <a:lnTo>
                  <a:pt x="117634" y="31052"/>
                </a:lnTo>
                <a:lnTo>
                  <a:pt x="75629" y="123635"/>
                </a:lnTo>
                <a:lnTo>
                  <a:pt x="157925" y="123635"/>
                </a:lnTo>
                <a:close/>
                <a:moveTo>
                  <a:pt x="99060" y="0"/>
                </a:moveTo>
                <a:lnTo>
                  <a:pt x="139161" y="0"/>
                </a:lnTo>
                <a:lnTo>
                  <a:pt x="234315" y="209931"/>
                </a:lnTo>
                <a:lnTo>
                  <a:pt x="195358" y="209931"/>
                </a:lnTo>
                <a:lnTo>
                  <a:pt x="167830" y="146685"/>
                </a:lnTo>
                <a:lnTo>
                  <a:pt x="65151" y="146685"/>
                </a:lnTo>
                <a:lnTo>
                  <a:pt x="36481" y="209931"/>
                </a:lnTo>
                <a:lnTo>
                  <a:pt x="0" y="209931"/>
                </a:lnTo>
                <a:lnTo>
                  <a:pt x="9906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6" name="Forma Livre: Forma 25">
            <a:extLst>
              <a:ext uri="{FF2B5EF4-FFF2-40B4-BE49-F238E27FC236}">
                <a16:creationId xmlns:a16="http://schemas.microsoft.com/office/drawing/2014/main" id="{125D2F9B-4DF8-96A8-0306-92CEC776B028}"/>
              </a:ext>
            </a:extLst>
          </xdr:cNvPr>
          <xdr:cNvSpPr/>
        </xdr:nvSpPr>
        <xdr:spPr>
          <a:xfrm>
            <a:off x="12341178" y="11578377"/>
            <a:ext cx="167354" cy="209931"/>
          </a:xfrm>
          <a:custGeom>
            <a:avLst/>
            <a:gdLst>
              <a:gd name="connsiteX0" fmla="*/ 0 w 167354"/>
              <a:gd name="connsiteY0" fmla="*/ 0 h 209931"/>
              <a:gd name="connsiteX1" fmla="*/ 36005 w 167354"/>
              <a:gd name="connsiteY1" fmla="*/ 0 h 209931"/>
              <a:gd name="connsiteX2" fmla="*/ 36005 w 167354"/>
              <a:gd name="connsiteY2" fmla="*/ 184976 h 209931"/>
              <a:gd name="connsiteX3" fmla="*/ 167354 w 167354"/>
              <a:gd name="connsiteY3" fmla="*/ 184976 h 209931"/>
              <a:gd name="connsiteX4" fmla="*/ 167354 w 167354"/>
              <a:gd name="connsiteY4" fmla="*/ 209931 h 209931"/>
              <a:gd name="connsiteX5" fmla="*/ 0 w 167354"/>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354" h="209931">
                <a:moveTo>
                  <a:pt x="0" y="0"/>
                </a:moveTo>
                <a:lnTo>
                  <a:pt x="36005" y="0"/>
                </a:lnTo>
                <a:lnTo>
                  <a:pt x="36005" y="184976"/>
                </a:lnTo>
                <a:lnTo>
                  <a:pt x="167354" y="184976"/>
                </a:lnTo>
                <a:lnTo>
                  <a:pt x="167354"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grpSp>
    <xdr:clientData/>
  </xdr:absoluteAnchor>
  <xdr:twoCellAnchor>
    <xdr:from>
      <xdr:col>13</xdr:col>
      <xdr:colOff>319030</xdr:colOff>
      <xdr:row>4</xdr:row>
      <xdr:rowOff>150871</xdr:rowOff>
    </xdr:from>
    <xdr:to>
      <xdr:col>16</xdr:col>
      <xdr:colOff>543192</xdr:colOff>
      <xdr:row>17</xdr:row>
      <xdr:rowOff>155155</xdr:rowOff>
    </xdr:to>
    <mc:AlternateContent xmlns:mc="http://schemas.openxmlformats.org/markup-compatibility/2006">
      <mc:Choice xmlns:cx1="http://schemas.microsoft.com/office/drawing/2015/9/8/chartex" Requires="cx1">
        <xdr:graphicFrame macro="">
          <xdr:nvGraphicFramePr>
            <xdr:cNvPr id="19" name="Gráfico 18">
              <a:extLst>
                <a:ext uri="{FF2B5EF4-FFF2-40B4-BE49-F238E27FC236}">
                  <a16:creationId xmlns:a16="http://schemas.microsoft.com/office/drawing/2014/main" id="{CDD41498-D10D-2BC1-CEDA-93A1534838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2587230" y="676275"/>
              <a:ext cx="2052962" cy="0"/>
            </a:xfrm>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twoCellAnchor>
    <xdr:from>
      <xdr:col>17</xdr:col>
      <xdr:colOff>97163</xdr:colOff>
      <xdr:row>4</xdr:row>
      <xdr:rowOff>143220</xdr:rowOff>
    </xdr:from>
    <xdr:to>
      <xdr:col>20</xdr:col>
      <xdr:colOff>443735</xdr:colOff>
      <xdr:row>17</xdr:row>
      <xdr:rowOff>147504</xdr:rowOff>
    </xdr:to>
    <mc:AlternateContent xmlns:mc="http://schemas.openxmlformats.org/markup-compatibility/2006">
      <mc:Choice xmlns:cx1="http://schemas.microsoft.com/office/drawing/2015/9/8/chartex" Requires="cx1">
        <xdr:graphicFrame macro="">
          <xdr:nvGraphicFramePr>
            <xdr:cNvPr id="20" name="Gráfico 19">
              <a:extLst>
                <a:ext uri="{FF2B5EF4-FFF2-40B4-BE49-F238E27FC236}">
                  <a16:creationId xmlns:a16="http://schemas.microsoft.com/office/drawing/2014/main" id="{8221F0B1-C8B7-1DB8-2B1E-56A33621A11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4803763" y="676275"/>
              <a:ext cx="2175372" cy="0"/>
            </a:xfrm>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95251</xdr:colOff>
      <xdr:row>70</xdr:row>
      <xdr:rowOff>31750</xdr:rowOff>
    </xdr:from>
    <xdr:to>
      <xdr:col>19</xdr:col>
      <xdr:colOff>317499</xdr:colOff>
      <xdr:row>80</xdr:row>
      <xdr:rowOff>74859</xdr:rowOff>
    </xdr:to>
    <xdr:pic>
      <xdr:nvPicPr>
        <xdr:cNvPr id="2" name="Imagem 1">
          <a:extLst>
            <a:ext uri="{FF2B5EF4-FFF2-40B4-BE49-F238E27FC236}">
              <a16:creationId xmlns:a16="http://schemas.microsoft.com/office/drawing/2014/main" id="{4C0EBCB6-65E7-42E7-B240-A0D0DF1B3204}"/>
            </a:ext>
          </a:extLst>
        </xdr:cNvPr>
        <xdr:cNvPicPr>
          <a:picLocks noChangeAspect="1"/>
        </xdr:cNvPicPr>
      </xdr:nvPicPr>
      <xdr:blipFill>
        <a:blip xmlns:r="http://schemas.openxmlformats.org/officeDocument/2006/relationships" r:embed="rId1"/>
        <a:stretch>
          <a:fillRect/>
        </a:stretch>
      </xdr:blipFill>
      <xdr:spPr>
        <a:xfrm>
          <a:off x="14446251" y="9613900"/>
          <a:ext cx="3879850" cy="1937415"/>
        </a:xfrm>
        <a:prstGeom prst="rect">
          <a:avLst/>
        </a:prstGeom>
      </xdr:spPr>
    </xdr:pic>
    <xdr:clientData/>
  </xdr:twoCellAnchor>
  <xdr:twoCellAnchor editAs="oneCell">
    <xdr:from>
      <xdr:col>13</xdr:col>
      <xdr:colOff>356870</xdr:colOff>
      <xdr:row>59</xdr:row>
      <xdr:rowOff>63500</xdr:rowOff>
    </xdr:from>
    <xdr:to>
      <xdr:col>20</xdr:col>
      <xdr:colOff>188277</xdr:colOff>
      <xdr:row>70</xdr:row>
      <xdr:rowOff>162943</xdr:rowOff>
    </xdr:to>
    <xdr:pic>
      <xdr:nvPicPr>
        <xdr:cNvPr id="4" name="Imagem 3">
          <a:extLst>
            <a:ext uri="{FF2B5EF4-FFF2-40B4-BE49-F238E27FC236}">
              <a16:creationId xmlns:a16="http://schemas.microsoft.com/office/drawing/2014/main" id="{2CA983CC-1846-4748-59AD-AC9A005C06A4}"/>
            </a:ext>
          </a:extLst>
        </xdr:cNvPr>
        <xdr:cNvPicPr>
          <a:picLocks noChangeAspect="1"/>
        </xdr:cNvPicPr>
      </xdr:nvPicPr>
      <xdr:blipFill>
        <a:blip xmlns:r="http://schemas.openxmlformats.org/officeDocument/2006/relationships" r:embed="rId2"/>
        <a:stretch>
          <a:fillRect/>
        </a:stretch>
      </xdr:blipFill>
      <xdr:spPr>
        <a:xfrm>
          <a:off x="14707870" y="7175500"/>
          <a:ext cx="4098608" cy="222936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absoluteAnchor>
    <xdr:pos x="800100" y="114300"/>
    <xdr:ext cx="1516540" cy="129540"/>
    <xdr:grpSp>
      <xdr:nvGrpSpPr>
        <xdr:cNvPr id="2" name="Agrupar 11">
          <a:extLst>
            <a:ext uri="{FF2B5EF4-FFF2-40B4-BE49-F238E27FC236}">
              <a16:creationId xmlns:a16="http://schemas.microsoft.com/office/drawing/2014/main" id="{243F1A8A-ABB7-4B1A-8B5A-27D83700DB1C}"/>
            </a:ext>
          </a:extLst>
        </xdr:cNvPr>
        <xdr:cNvGrpSpPr/>
      </xdr:nvGrpSpPr>
      <xdr:grpSpPr>
        <a:xfrm>
          <a:off x="800100" y="114300"/>
          <a:ext cx="1516540" cy="129540"/>
          <a:chOff x="8887890" y="11505511"/>
          <a:chExt cx="3620642" cy="289559"/>
        </a:xfrm>
        <a:solidFill>
          <a:schemeClr val="bg1"/>
        </a:solidFill>
      </xdr:grpSpPr>
      <xdr:sp macro="" textlink="">
        <xdr:nvSpPr>
          <xdr:cNvPr id="3" name="Forma Livre: Forma 12">
            <a:extLst>
              <a:ext uri="{FF2B5EF4-FFF2-40B4-BE49-F238E27FC236}">
                <a16:creationId xmlns:a16="http://schemas.microsoft.com/office/drawing/2014/main" id="{0651E302-2937-86A6-7036-6CAE0CE9F330}"/>
              </a:ext>
            </a:extLst>
          </xdr:cNvPr>
          <xdr:cNvSpPr/>
        </xdr:nvSpPr>
        <xdr:spPr>
          <a:xfrm>
            <a:off x="8887890" y="11505511"/>
            <a:ext cx="316801" cy="282797"/>
          </a:xfrm>
          <a:custGeom>
            <a:avLst/>
            <a:gdLst>
              <a:gd name="connsiteX0" fmla="*/ 213932 w 316801"/>
              <a:gd name="connsiteY0" fmla="*/ 166688 h 282797"/>
              <a:gd name="connsiteX1" fmla="*/ 159639 w 316801"/>
              <a:gd name="connsiteY1" fmla="*/ 41815 h 282797"/>
              <a:gd name="connsiteX2" fmla="*/ 103061 w 316801"/>
              <a:gd name="connsiteY2" fmla="*/ 166688 h 282797"/>
              <a:gd name="connsiteX3" fmla="*/ 213932 w 316801"/>
              <a:gd name="connsiteY3" fmla="*/ 166688 h 282797"/>
              <a:gd name="connsiteX4" fmla="*/ 133445 w 316801"/>
              <a:gd name="connsiteY4" fmla="*/ 0 h 282797"/>
              <a:gd name="connsiteX5" fmla="*/ 188786 w 316801"/>
              <a:gd name="connsiteY5" fmla="*/ 0 h 282797"/>
              <a:gd name="connsiteX6" fmla="*/ 316802 w 316801"/>
              <a:gd name="connsiteY6" fmla="*/ 282797 h 282797"/>
              <a:gd name="connsiteX7" fmla="*/ 264414 w 316801"/>
              <a:gd name="connsiteY7" fmla="*/ 282797 h 282797"/>
              <a:gd name="connsiteX8" fmla="*/ 227266 w 316801"/>
              <a:gd name="connsiteY8" fmla="*/ 197453 h 282797"/>
              <a:gd name="connsiteX9" fmla="*/ 89154 w 316801"/>
              <a:gd name="connsiteY9" fmla="*/ 197453 h 282797"/>
              <a:gd name="connsiteX10" fmla="*/ 50482 w 316801"/>
              <a:gd name="connsiteY10" fmla="*/ 282797 h 282797"/>
              <a:gd name="connsiteX11" fmla="*/ 0 w 316801"/>
              <a:gd name="connsiteY11" fmla="*/ 282797 h 282797"/>
              <a:gd name="connsiteX12" fmla="*/ 133445 w 316801"/>
              <a:gd name="connsiteY12"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16801" h="282797">
                <a:moveTo>
                  <a:pt x="213932" y="166688"/>
                </a:moveTo>
                <a:lnTo>
                  <a:pt x="159639" y="41815"/>
                </a:lnTo>
                <a:lnTo>
                  <a:pt x="103061" y="166688"/>
                </a:lnTo>
                <a:lnTo>
                  <a:pt x="213932" y="166688"/>
                </a:lnTo>
                <a:close/>
                <a:moveTo>
                  <a:pt x="133445" y="0"/>
                </a:moveTo>
                <a:lnTo>
                  <a:pt x="188786" y="0"/>
                </a:lnTo>
                <a:lnTo>
                  <a:pt x="316802" y="282797"/>
                </a:lnTo>
                <a:lnTo>
                  <a:pt x="264414" y="282797"/>
                </a:lnTo>
                <a:lnTo>
                  <a:pt x="227266" y="197453"/>
                </a:lnTo>
                <a:lnTo>
                  <a:pt x="89154" y="197453"/>
                </a:lnTo>
                <a:lnTo>
                  <a:pt x="50482" y="282797"/>
                </a:lnTo>
                <a:lnTo>
                  <a:pt x="0" y="282797"/>
                </a:lnTo>
                <a:lnTo>
                  <a:pt x="13344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4" name="Forma Livre: Forma 13">
            <a:extLst>
              <a:ext uri="{FF2B5EF4-FFF2-40B4-BE49-F238E27FC236}">
                <a16:creationId xmlns:a16="http://schemas.microsoft.com/office/drawing/2014/main" id="{848897F5-C312-EDAA-7116-512E47BF7595}"/>
              </a:ext>
            </a:extLst>
          </xdr:cNvPr>
          <xdr:cNvSpPr/>
        </xdr:nvSpPr>
        <xdr:spPr>
          <a:xfrm>
            <a:off x="9234505" y="11578377"/>
            <a:ext cx="167258" cy="209931"/>
          </a:xfrm>
          <a:custGeom>
            <a:avLst/>
            <a:gdLst>
              <a:gd name="connsiteX0" fmla="*/ 0 w 167258"/>
              <a:gd name="connsiteY0" fmla="*/ 0 h 209931"/>
              <a:gd name="connsiteX1" fmla="*/ 35909 w 167258"/>
              <a:gd name="connsiteY1" fmla="*/ 0 h 209931"/>
              <a:gd name="connsiteX2" fmla="*/ 35909 w 167258"/>
              <a:gd name="connsiteY2" fmla="*/ 184976 h 209931"/>
              <a:gd name="connsiteX3" fmla="*/ 167259 w 167258"/>
              <a:gd name="connsiteY3" fmla="*/ 184976 h 209931"/>
              <a:gd name="connsiteX4" fmla="*/ 167259 w 167258"/>
              <a:gd name="connsiteY4" fmla="*/ 209931 h 209931"/>
              <a:gd name="connsiteX5" fmla="*/ 0 w 167258"/>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258" h="209931">
                <a:moveTo>
                  <a:pt x="0" y="0"/>
                </a:moveTo>
                <a:lnTo>
                  <a:pt x="35909" y="0"/>
                </a:lnTo>
                <a:lnTo>
                  <a:pt x="35909" y="184976"/>
                </a:lnTo>
                <a:lnTo>
                  <a:pt x="167259" y="184976"/>
                </a:lnTo>
                <a:lnTo>
                  <a:pt x="167259"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5" name="Forma Livre: Forma 14">
            <a:extLst>
              <a:ext uri="{FF2B5EF4-FFF2-40B4-BE49-F238E27FC236}">
                <a16:creationId xmlns:a16="http://schemas.microsoft.com/office/drawing/2014/main" id="{76DAE4DD-7583-B322-44EA-1597C5EE3F8A}"/>
              </a:ext>
            </a:extLst>
          </xdr:cNvPr>
          <xdr:cNvSpPr/>
        </xdr:nvSpPr>
        <xdr:spPr>
          <a:xfrm>
            <a:off x="9366140" y="11578377"/>
            <a:ext cx="229171" cy="209931"/>
          </a:xfrm>
          <a:custGeom>
            <a:avLst/>
            <a:gdLst>
              <a:gd name="connsiteX0" fmla="*/ 39338 w 229171"/>
              <a:gd name="connsiteY0" fmla="*/ 0 h 209931"/>
              <a:gd name="connsiteX1" fmla="*/ 114585 w 229171"/>
              <a:gd name="connsiteY1" fmla="*/ 178689 h 209931"/>
              <a:gd name="connsiteX2" fmla="*/ 189357 w 229171"/>
              <a:gd name="connsiteY2" fmla="*/ 0 h 209931"/>
              <a:gd name="connsiteX3" fmla="*/ 229171 w 229171"/>
              <a:gd name="connsiteY3" fmla="*/ 0 h 209931"/>
              <a:gd name="connsiteX4" fmla="*/ 133159 w 229171"/>
              <a:gd name="connsiteY4" fmla="*/ 209931 h 209931"/>
              <a:gd name="connsiteX5" fmla="*/ 95440 w 229171"/>
              <a:gd name="connsiteY5" fmla="*/ 209931 h 209931"/>
              <a:gd name="connsiteX6" fmla="*/ 0 w 229171"/>
              <a:gd name="connsiteY6"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9171" h="209931">
                <a:moveTo>
                  <a:pt x="39338" y="0"/>
                </a:moveTo>
                <a:lnTo>
                  <a:pt x="114585" y="178689"/>
                </a:lnTo>
                <a:lnTo>
                  <a:pt x="189357" y="0"/>
                </a:lnTo>
                <a:lnTo>
                  <a:pt x="229171" y="0"/>
                </a:lnTo>
                <a:lnTo>
                  <a:pt x="133159" y="209931"/>
                </a:lnTo>
                <a:lnTo>
                  <a:pt x="95440" y="209931"/>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6" name="Forma Livre: Forma 15">
            <a:extLst>
              <a:ext uri="{FF2B5EF4-FFF2-40B4-BE49-F238E27FC236}">
                <a16:creationId xmlns:a16="http://schemas.microsoft.com/office/drawing/2014/main" id="{25F66F1D-3C24-A7B3-F94F-94636807C7D8}"/>
              </a:ext>
            </a:extLst>
          </xdr:cNvPr>
          <xdr:cNvSpPr/>
        </xdr:nvSpPr>
        <xdr:spPr>
          <a:xfrm>
            <a:off x="9549115" y="11578377"/>
            <a:ext cx="234315" cy="209931"/>
          </a:xfrm>
          <a:custGeom>
            <a:avLst/>
            <a:gdLst>
              <a:gd name="connsiteX0" fmla="*/ 157639 w 234315"/>
              <a:gd name="connsiteY0" fmla="*/ 123635 h 209931"/>
              <a:gd name="connsiteX1" fmla="*/ 117348 w 234315"/>
              <a:gd name="connsiteY1" fmla="*/ 31052 h 209931"/>
              <a:gd name="connsiteX2" fmla="*/ 75438 w 234315"/>
              <a:gd name="connsiteY2" fmla="*/ 123635 h 209931"/>
              <a:gd name="connsiteX3" fmla="*/ 157639 w 234315"/>
              <a:gd name="connsiteY3" fmla="*/ 123635 h 209931"/>
              <a:gd name="connsiteX4" fmla="*/ 98965 w 234315"/>
              <a:gd name="connsiteY4" fmla="*/ 0 h 209931"/>
              <a:gd name="connsiteX5" fmla="*/ 139065 w 234315"/>
              <a:gd name="connsiteY5" fmla="*/ 0 h 209931"/>
              <a:gd name="connsiteX6" fmla="*/ 234315 w 234315"/>
              <a:gd name="connsiteY6" fmla="*/ 209931 h 209931"/>
              <a:gd name="connsiteX7" fmla="*/ 195358 w 234315"/>
              <a:gd name="connsiteY7" fmla="*/ 209931 h 209931"/>
              <a:gd name="connsiteX8" fmla="*/ 167736 w 234315"/>
              <a:gd name="connsiteY8" fmla="*/ 146685 h 209931"/>
              <a:gd name="connsiteX9" fmla="*/ 65056 w 234315"/>
              <a:gd name="connsiteY9" fmla="*/ 146685 h 209931"/>
              <a:gd name="connsiteX10" fmla="*/ 36481 w 234315"/>
              <a:gd name="connsiteY10" fmla="*/ 209931 h 209931"/>
              <a:gd name="connsiteX11" fmla="*/ 0 w 234315"/>
              <a:gd name="connsiteY11" fmla="*/ 209931 h 209931"/>
              <a:gd name="connsiteX12" fmla="*/ 98965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639" y="123635"/>
                </a:moveTo>
                <a:lnTo>
                  <a:pt x="117348" y="31052"/>
                </a:lnTo>
                <a:lnTo>
                  <a:pt x="75438" y="123635"/>
                </a:lnTo>
                <a:lnTo>
                  <a:pt x="157639" y="123635"/>
                </a:lnTo>
                <a:close/>
                <a:moveTo>
                  <a:pt x="98965" y="0"/>
                </a:moveTo>
                <a:lnTo>
                  <a:pt x="139065" y="0"/>
                </a:lnTo>
                <a:lnTo>
                  <a:pt x="234315" y="209931"/>
                </a:lnTo>
                <a:lnTo>
                  <a:pt x="195358" y="209931"/>
                </a:lnTo>
                <a:lnTo>
                  <a:pt x="167736"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7" name="Forma Livre: Forma 16">
            <a:extLst>
              <a:ext uri="{FF2B5EF4-FFF2-40B4-BE49-F238E27FC236}">
                <a16:creationId xmlns:a16="http://schemas.microsoft.com/office/drawing/2014/main" id="{6A9FA8E1-F6BB-EACF-8C5C-35CDF7F99F6F}"/>
              </a:ext>
            </a:extLst>
          </xdr:cNvPr>
          <xdr:cNvSpPr/>
        </xdr:nvSpPr>
        <xdr:spPr>
          <a:xfrm>
            <a:off x="9811815" y="11578377"/>
            <a:ext cx="213836" cy="209835"/>
          </a:xfrm>
          <a:custGeom>
            <a:avLst/>
            <a:gdLst>
              <a:gd name="connsiteX0" fmla="*/ 115158 w 213836"/>
              <a:gd name="connsiteY0" fmla="*/ 96298 h 209835"/>
              <a:gd name="connsiteX1" fmla="*/ 153258 w 213836"/>
              <a:gd name="connsiteY1" fmla="*/ 88297 h 209835"/>
              <a:gd name="connsiteX2" fmla="*/ 167259 w 213836"/>
              <a:gd name="connsiteY2" fmla="*/ 59627 h 209835"/>
              <a:gd name="connsiteX3" fmla="*/ 147638 w 213836"/>
              <a:gd name="connsiteY3" fmla="*/ 29146 h 209835"/>
              <a:gd name="connsiteX4" fmla="*/ 119634 w 213836"/>
              <a:gd name="connsiteY4" fmla="*/ 24860 h 209835"/>
              <a:gd name="connsiteX5" fmla="*/ 35909 w 213836"/>
              <a:gd name="connsiteY5" fmla="*/ 24860 h 209835"/>
              <a:gd name="connsiteX6" fmla="*/ 35909 w 213836"/>
              <a:gd name="connsiteY6" fmla="*/ 96298 h 209835"/>
              <a:gd name="connsiteX7" fmla="*/ 115158 w 213836"/>
              <a:gd name="connsiteY7" fmla="*/ 96298 h 209835"/>
              <a:gd name="connsiteX8" fmla="*/ 0 w 213836"/>
              <a:gd name="connsiteY8" fmla="*/ 0 h 209835"/>
              <a:gd name="connsiteX9" fmla="*/ 119063 w 213836"/>
              <a:gd name="connsiteY9" fmla="*/ 0 h 209835"/>
              <a:gd name="connsiteX10" fmla="*/ 167450 w 213836"/>
              <a:gd name="connsiteY10" fmla="*/ 6953 h 209835"/>
              <a:gd name="connsiteX11" fmla="*/ 203740 w 213836"/>
              <a:gd name="connsiteY11" fmla="*/ 56674 h 209835"/>
              <a:gd name="connsiteX12" fmla="*/ 193929 w 213836"/>
              <a:gd name="connsiteY12" fmla="*/ 87439 h 209835"/>
              <a:gd name="connsiteX13" fmla="*/ 166497 w 213836"/>
              <a:gd name="connsiteY13" fmla="*/ 106775 h 209835"/>
              <a:gd name="connsiteX14" fmla="*/ 189738 w 213836"/>
              <a:gd name="connsiteY14" fmla="*/ 119920 h 209835"/>
              <a:gd name="connsiteX15" fmla="*/ 198406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49 w 213836"/>
              <a:gd name="connsiteY22" fmla="*/ 186404 h 209835"/>
              <a:gd name="connsiteX23" fmla="*/ 163544 w 213836"/>
              <a:gd name="connsiteY23" fmla="*/ 151257 h 209835"/>
              <a:gd name="connsiteX24" fmla="*/ 145066 w 213836"/>
              <a:gd name="connsiteY24" fmla="*/ 123635 h 209835"/>
              <a:gd name="connsiteX25" fmla="*/ 114205 w 213836"/>
              <a:gd name="connsiteY25" fmla="*/ 119729 h 209835"/>
              <a:gd name="connsiteX26" fmla="*/ 36005 w 213836"/>
              <a:gd name="connsiteY26" fmla="*/ 119729 h 209835"/>
              <a:gd name="connsiteX27" fmla="*/ 36005 w 213836"/>
              <a:gd name="connsiteY27" fmla="*/ 209836 h 209835"/>
              <a:gd name="connsiteX28" fmla="*/ 95 w 213836"/>
              <a:gd name="connsiteY28" fmla="*/ 209836 h 209835"/>
              <a:gd name="connsiteX29" fmla="*/ 95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158" y="96298"/>
                </a:moveTo>
                <a:cubicBezTo>
                  <a:pt x="131255" y="96298"/>
                  <a:pt x="143923" y="93631"/>
                  <a:pt x="153258" y="88297"/>
                </a:cubicBezTo>
                <a:cubicBezTo>
                  <a:pt x="162687" y="82963"/>
                  <a:pt x="167259" y="73343"/>
                  <a:pt x="167259" y="59627"/>
                </a:cubicBezTo>
                <a:cubicBezTo>
                  <a:pt x="167259" y="44672"/>
                  <a:pt x="160782" y="34480"/>
                  <a:pt x="147638" y="29146"/>
                </a:cubicBezTo>
                <a:cubicBezTo>
                  <a:pt x="140684" y="26289"/>
                  <a:pt x="131255" y="24860"/>
                  <a:pt x="119634" y="24860"/>
                </a:cubicBezTo>
                <a:lnTo>
                  <a:pt x="35909" y="24860"/>
                </a:lnTo>
                <a:lnTo>
                  <a:pt x="35909" y="96298"/>
                </a:lnTo>
                <a:lnTo>
                  <a:pt x="115158" y="96298"/>
                </a:lnTo>
                <a:close/>
                <a:moveTo>
                  <a:pt x="0" y="0"/>
                </a:moveTo>
                <a:lnTo>
                  <a:pt x="119063" y="0"/>
                </a:lnTo>
                <a:cubicBezTo>
                  <a:pt x="138684" y="0"/>
                  <a:pt x="154781" y="2286"/>
                  <a:pt x="167450" y="6953"/>
                </a:cubicBezTo>
                <a:cubicBezTo>
                  <a:pt x="191643" y="16002"/>
                  <a:pt x="203740" y="32576"/>
                  <a:pt x="203740" y="56674"/>
                </a:cubicBezTo>
                <a:cubicBezTo>
                  <a:pt x="203740" y="69247"/>
                  <a:pt x="200501" y="79438"/>
                  <a:pt x="193929" y="87439"/>
                </a:cubicBezTo>
                <a:cubicBezTo>
                  <a:pt x="187357" y="95440"/>
                  <a:pt x="178213" y="101918"/>
                  <a:pt x="166497" y="106775"/>
                </a:cubicBezTo>
                <a:cubicBezTo>
                  <a:pt x="176879" y="110109"/>
                  <a:pt x="184595" y="114395"/>
                  <a:pt x="189738" y="119920"/>
                </a:cubicBezTo>
                <a:cubicBezTo>
                  <a:pt x="194977" y="125349"/>
                  <a:pt x="197834" y="134112"/>
                  <a:pt x="198406" y="146304"/>
                </a:cubicBezTo>
                <a:lnTo>
                  <a:pt x="199930" y="174403"/>
                </a:lnTo>
                <a:cubicBezTo>
                  <a:pt x="200311" y="182404"/>
                  <a:pt x="201073" y="188404"/>
                  <a:pt x="202406" y="192214"/>
                </a:cubicBezTo>
                <a:cubicBezTo>
                  <a:pt x="204597" y="198882"/>
                  <a:pt x="208312" y="203168"/>
                  <a:pt x="213836" y="204978"/>
                </a:cubicBezTo>
                <a:lnTo>
                  <a:pt x="213836" y="209836"/>
                </a:lnTo>
                <a:lnTo>
                  <a:pt x="169831" y="209836"/>
                </a:lnTo>
                <a:cubicBezTo>
                  <a:pt x="168688" y="208026"/>
                  <a:pt x="167735" y="205740"/>
                  <a:pt x="167069" y="202787"/>
                </a:cubicBezTo>
                <a:cubicBezTo>
                  <a:pt x="166402" y="199930"/>
                  <a:pt x="165831" y="194405"/>
                  <a:pt x="165449" y="186404"/>
                </a:cubicBezTo>
                <a:lnTo>
                  <a:pt x="163544" y="151257"/>
                </a:lnTo>
                <a:cubicBezTo>
                  <a:pt x="162783" y="137446"/>
                  <a:pt x="156591" y="128302"/>
                  <a:pt x="145066" y="123635"/>
                </a:cubicBezTo>
                <a:cubicBezTo>
                  <a:pt x="138494" y="120968"/>
                  <a:pt x="128207" y="119729"/>
                  <a:pt x="114205" y="119729"/>
                </a:cubicBezTo>
                <a:lnTo>
                  <a:pt x="36005" y="119729"/>
                </a:lnTo>
                <a:lnTo>
                  <a:pt x="36005" y="209836"/>
                </a:lnTo>
                <a:lnTo>
                  <a:pt x="95" y="209836"/>
                </a:lnTo>
                <a:lnTo>
                  <a:pt x="9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8" name="Forma Livre: Forma 17">
            <a:extLst>
              <a:ext uri="{FF2B5EF4-FFF2-40B4-BE49-F238E27FC236}">
                <a16:creationId xmlns:a16="http://schemas.microsoft.com/office/drawing/2014/main" id="{FCA671A8-4623-319A-102D-D5187792C069}"/>
              </a:ext>
            </a:extLst>
          </xdr:cNvPr>
          <xdr:cNvSpPr/>
        </xdr:nvSpPr>
        <xdr:spPr>
          <a:xfrm>
            <a:off x="10052797" y="11578377"/>
            <a:ext cx="168497" cy="209931"/>
          </a:xfrm>
          <a:custGeom>
            <a:avLst/>
            <a:gdLst>
              <a:gd name="connsiteX0" fmla="*/ 0 w 168497"/>
              <a:gd name="connsiteY0" fmla="*/ 0 h 209931"/>
              <a:gd name="connsiteX1" fmla="*/ 166878 w 168497"/>
              <a:gd name="connsiteY1" fmla="*/ 0 h 209931"/>
              <a:gd name="connsiteX2" fmla="*/ 166878 w 168497"/>
              <a:gd name="connsiteY2" fmla="*/ 25337 h 209931"/>
              <a:gd name="connsiteX3" fmla="*/ 30004 w 168497"/>
              <a:gd name="connsiteY3" fmla="*/ 25337 h 209931"/>
              <a:gd name="connsiteX4" fmla="*/ 30004 w 168497"/>
              <a:gd name="connsiteY4" fmla="*/ 89059 h 209931"/>
              <a:gd name="connsiteX5" fmla="*/ 156496 w 168497"/>
              <a:gd name="connsiteY5" fmla="*/ 89059 h 209931"/>
              <a:gd name="connsiteX6" fmla="*/ 156496 w 168497"/>
              <a:gd name="connsiteY6" fmla="*/ 113919 h 209931"/>
              <a:gd name="connsiteX7" fmla="*/ 30004 w 168497"/>
              <a:gd name="connsiteY7" fmla="*/ 113919 h 209931"/>
              <a:gd name="connsiteX8" fmla="*/ 30004 w 168497"/>
              <a:gd name="connsiteY8" fmla="*/ 184976 h 209931"/>
              <a:gd name="connsiteX9" fmla="*/ 168497 w 168497"/>
              <a:gd name="connsiteY9" fmla="*/ 184976 h 209931"/>
              <a:gd name="connsiteX10" fmla="*/ 168497 w 168497"/>
              <a:gd name="connsiteY10" fmla="*/ 209931 h 209931"/>
              <a:gd name="connsiteX11" fmla="*/ 0 w 168497"/>
              <a:gd name="connsiteY11"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8497" h="209931">
                <a:moveTo>
                  <a:pt x="0" y="0"/>
                </a:moveTo>
                <a:lnTo>
                  <a:pt x="166878" y="0"/>
                </a:lnTo>
                <a:lnTo>
                  <a:pt x="166878" y="25337"/>
                </a:lnTo>
                <a:lnTo>
                  <a:pt x="30004" y="25337"/>
                </a:lnTo>
                <a:lnTo>
                  <a:pt x="30004" y="89059"/>
                </a:lnTo>
                <a:lnTo>
                  <a:pt x="156496" y="89059"/>
                </a:lnTo>
                <a:lnTo>
                  <a:pt x="156496" y="113919"/>
                </a:lnTo>
                <a:lnTo>
                  <a:pt x="30004" y="113919"/>
                </a:lnTo>
                <a:lnTo>
                  <a:pt x="30004" y="184976"/>
                </a:lnTo>
                <a:lnTo>
                  <a:pt x="168497" y="184976"/>
                </a:lnTo>
                <a:lnTo>
                  <a:pt x="168497"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9" name="Forma Livre: Forma 18">
            <a:extLst>
              <a:ext uri="{FF2B5EF4-FFF2-40B4-BE49-F238E27FC236}">
                <a16:creationId xmlns:a16="http://schemas.microsoft.com/office/drawing/2014/main" id="{019C4FEE-1EE4-1B33-DFE5-0E25E8C2E224}"/>
              </a:ext>
            </a:extLst>
          </xdr:cNvPr>
          <xdr:cNvSpPr/>
        </xdr:nvSpPr>
        <xdr:spPr>
          <a:xfrm>
            <a:off x="10254442" y="11578377"/>
            <a:ext cx="206120" cy="209931"/>
          </a:xfrm>
          <a:custGeom>
            <a:avLst/>
            <a:gdLst>
              <a:gd name="connsiteX0" fmla="*/ 0 w 206120"/>
              <a:gd name="connsiteY0" fmla="*/ 186404 h 209931"/>
              <a:gd name="connsiteX1" fmla="*/ 160972 w 206120"/>
              <a:gd name="connsiteY1" fmla="*/ 24860 h 209931"/>
              <a:gd name="connsiteX2" fmla="*/ 12001 w 206120"/>
              <a:gd name="connsiteY2" fmla="*/ 24860 h 209931"/>
              <a:gd name="connsiteX3" fmla="*/ 12001 w 206120"/>
              <a:gd name="connsiteY3" fmla="*/ 0 h 209931"/>
              <a:gd name="connsiteX4" fmla="*/ 206121 w 206120"/>
              <a:gd name="connsiteY4" fmla="*/ 0 h 209931"/>
              <a:gd name="connsiteX5" fmla="*/ 206121 w 206120"/>
              <a:gd name="connsiteY5" fmla="*/ 24289 h 209931"/>
              <a:gd name="connsiteX6" fmla="*/ 44672 w 206120"/>
              <a:gd name="connsiteY6" fmla="*/ 184976 h 209931"/>
              <a:gd name="connsiteX7" fmla="*/ 206121 w 206120"/>
              <a:gd name="connsiteY7" fmla="*/ 184976 h 209931"/>
              <a:gd name="connsiteX8" fmla="*/ 206121 w 206120"/>
              <a:gd name="connsiteY8" fmla="*/ 209931 h 209931"/>
              <a:gd name="connsiteX9" fmla="*/ 0 w 206120"/>
              <a:gd name="connsiteY9"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06120" h="209931">
                <a:moveTo>
                  <a:pt x="0" y="186404"/>
                </a:moveTo>
                <a:lnTo>
                  <a:pt x="160972" y="24860"/>
                </a:lnTo>
                <a:lnTo>
                  <a:pt x="12001" y="24860"/>
                </a:lnTo>
                <a:lnTo>
                  <a:pt x="12001" y="0"/>
                </a:lnTo>
                <a:lnTo>
                  <a:pt x="206121" y="0"/>
                </a:lnTo>
                <a:lnTo>
                  <a:pt x="206121" y="24289"/>
                </a:lnTo>
                <a:lnTo>
                  <a:pt x="44672" y="184976"/>
                </a:lnTo>
                <a:lnTo>
                  <a:pt x="206121" y="184976"/>
                </a:lnTo>
                <a:lnTo>
                  <a:pt x="206121"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0" name="Forma Livre: Forma 19">
            <a:extLst>
              <a:ext uri="{FF2B5EF4-FFF2-40B4-BE49-F238E27FC236}">
                <a16:creationId xmlns:a16="http://schemas.microsoft.com/office/drawing/2014/main" id="{8CE42953-3632-53F9-656C-F790CEEB59FA}"/>
              </a:ext>
            </a:extLst>
          </xdr:cNvPr>
          <xdr:cNvSpPr/>
        </xdr:nvSpPr>
        <xdr:spPr>
          <a:xfrm>
            <a:off x="10590198" y="11506463"/>
            <a:ext cx="294893" cy="288607"/>
          </a:xfrm>
          <a:custGeom>
            <a:avLst/>
            <a:gdLst>
              <a:gd name="connsiteX0" fmla="*/ 150686 w 294893"/>
              <a:gd name="connsiteY0" fmla="*/ 89344 h 288607"/>
              <a:gd name="connsiteX1" fmla="*/ 164878 w 294893"/>
              <a:gd name="connsiteY1" fmla="*/ 60293 h 288607"/>
              <a:gd name="connsiteX2" fmla="*/ 154591 w 294893"/>
              <a:gd name="connsiteY2" fmla="*/ 38767 h 288607"/>
              <a:gd name="connsiteX3" fmla="*/ 126682 w 294893"/>
              <a:gd name="connsiteY3" fmla="*/ 29623 h 288607"/>
              <a:gd name="connsiteX4" fmla="*/ 89630 w 294893"/>
              <a:gd name="connsiteY4" fmla="*/ 43910 h 288607"/>
              <a:gd name="connsiteX5" fmla="*/ 84296 w 294893"/>
              <a:gd name="connsiteY5" fmla="*/ 59817 h 288607"/>
              <a:gd name="connsiteX6" fmla="*/ 92392 w 294893"/>
              <a:gd name="connsiteY6" fmla="*/ 82296 h 288607"/>
              <a:gd name="connsiteX7" fmla="*/ 119348 w 294893"/>
              <a:gd name="connsiteY7" fmla="*/ 110395 h 288607"/>
              <a:gd name="connsiteX8" fmla="*/ 150686 w 294893"/>
              <a:gd name="connsiteY8" fmla="*/ 89344 h 288607"/>
              <a:gd name="connsiteX9" fmla="*/ 154114 w 294893"/>
              <a:gd name="connsiteY9" fmla="*/ 248983 h 288607"/>
              <a:gd name="connsiteX10" fmla="*/ 183546 w 294893"/>
              <a:gd name="connsiteY10" fmla="*/ 227076 h 288607"/>
              <a:gd name="connsiteX11" fmla="*/ 103727 w 294893"/>
              <a:gd name="connsiteY11" fmla="*/ 149257 h 288607"/>
              <a:gd name="connsiteX12" fmla="*/ 59817 w 294893"/>
              <a:gd name="connsiteY12" fmla="*/ 176879 h 288607"/>
              <a:gd name="connsiteX13" fmla="*/ 44101 w 294893"/>
              <a:gd name="connsiteY13" fmla="*/ 212026 h 288607"/>
              <a:gd name="connsiteX14" fmla="*/ 64579 w 294893"/>
              <a:gd name="connsiteY14" fmla="*/ 246697 h 288607"/>
              <a:gd name="connsiteX15" fmla="*/ 108395 w 294893"/>
              <a:gd name="connsiteY15" fmla="*/ 258699 h 288607"/>
              <a:gd name="connsiteX16" fmla="*/ 154114 w 294893"/>
              <a:gd name="connsiteY16" fmla="*/ 248983 h 288607"/>
              <a:gd name="connsiteX17" fmla="*/ 49816 w 294893"/>
              <a:gd name="connsiteY17" fmla="*/ 90964 h 288607"/>
              <a:gd name="connsiteX18" fmla="*/ 42196 w 294893"/>
              <a:gd name="connsiteY18" fmla="*/ 63722 h 288607"/>
              <a:gd name="connsiteX19" fmla="*/ 65246 w 294893"/>
              <a:gd name="connsiteY19" fmla="*/ 18193 h 288607"/>
              <a:gd name="connsiteX20" fmla="*/ 127063 w 294893"/>
              <a:gd name="connsiteY20" fmla="*/ 0 h 288607"/>
              <a:gd name="connsiteX21" fmla="*/ 184499 w 294893"/>
              <a:gd name="connsiteY21" fmla="*/ 16859 h 288607"/>
              <a:gd name="connsiteX22" fmla="*/ 205264 w 294893"/>
              <a:gd name="connsiteY22" fmla="*/ 57150 h 288607"/>
              <a:gd name="connsiteX23" fmla="*/ 183832 w 294893"/>
              <a:gd name="connsiteY23" fmla="*/ 104965 h 288607"/>
              <a:gd name="connsiteX24" fmla="*/ 142018 w 294893"/>
              <a:gd name="connsiteY24" fmla="*/ 132588 h 288607"/>
              <a:gd name="connsiteX25" fmla="*/ 206407 w 294893"/>
              <a:gd name="connsiteY25" fmla="*/ 194024 h 288607"/>
              <a:gd name="connsiteX26" fmla="*/ 214693 w 294893"/>
              <a:gd name="connsiteY26" fmla="*/ 170974 h 288607"/>
              <a:gd name="connsiteX27" fmla="*/ 219456 w 294893"/>
              <a:gd name="connsiteY27" fmla="*/ 149542 h 288607"/>
              <a:gd name="connsiteX28" fmla="*/ 261651 w 294893"/>
              <a:gd name="connsiteY28" fmla="*/ 149542 h 288607"/>
              <a:gd name="connsiteX29" fmla="*/ 245269 w 294893"/>
              <a:gd name="connsiteY29" fmla="*/ 201739 h 288607"/>
              <a:gd name="connsiteX30" fmla="*/ 233076 w 294893"/>
              <a:gd name="connsiteY30" fmla="*/ 221837 h 288607"/>
              <a:gd name="connsiteX31" fmla="*/ 294894 w 294893"/>
              <a:gd name="connsiteY31" fmla="*/ 281940 h 288607"/>
              <a:gd name="connsiteX32" fmla="*/ 240030 w 294893"/>
              <a:gd name="connsiteY32" fmla="*/ 281940 h 288607"/>
              <a:gd name="connsiteX33" fmla="*/ 206883 w 294893"/>
              <a:gd name="connsiteY33" fmla="*/ 250412 h 288607"/>
              <a:gd name="connsiteX34" fmla="*/ 170783 w 294893"/>
              <a:gd name="connsiteY34" fmla="*/ 274987 h 288607"/>
              <a:gd name="connsiteX35" fmla="*/ 104965 w 294893"/>
              <a:gd name="connsiteY35" fmla="*/ 288607 h 288607"/>
              <a:gd name="connsiteX36" fmla="*/ 24860 w 294893"/>
              <a:gd name="connsiteY36" fmla="*/ 264890 h 288607"/>
              <a:gd name="connsiteX37" fmla="*/ 0 w 294893"/>
              <a:gd name="connsiteY37" fmla="*/ 211741 h 288607"/>
              <a:gd name="connsiteX38" fmla="*/ 24289 w 294893"/>
              <a:gd name="connsiteY38" fmla="*/ 158401 h 288607"/>
              <a:gd name="connsiteX39" fmla="*/ 79724 w 294893"/>
              <a:gd name="connsiteY39" fmla="*/ 125825 h 288607"/>
              <a:gd name="connsiteX40" fmla="*/ 49816 w 294893"/>
              <a:gd name="connsiteY40" fmla="*/ 90964 h 2886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294893" h="288607">
                <a:moveTo>
                  <a:pt x="150686" y="89344"/>
                </a:moveTo>
                <a:cubicBezTo>
                  <a:pt x="160115" y="80486"/>
                  <a:pt x="164878" y="70866"/>
                  <a:pt x="164878" y="60293"/>
                </a:cubicBezTo>
                <a:cubicBezTo>
                  <a:pt x="164878" y="51911"/>
                  <a:pt x="161544" y="44767"/>
                  <a:pt x="154591" y="38767"/>
                </a:cubicBezTo>
                <a:cubicBezTo>
                  <a:pt x="147732" y="32671"/>
                  <a:pt x="138398" y="29623"/>
                  <a:pt x="126682" y="29623"/>
                </a:cubicBezTo>
                <a:cubicBezTo>
                  <a:pt x="108871" y="29623"/>
                  <a:pt x="96583" y="34385"/>
                  <a:pt x="89630" y="43910"/>
                </a:cubicBezTo>
                <a:cubicBezTo>
                  <a:pt x="86106" y="48673"/>
                  <a:pt x="84296" y="54007"/>
                  <a:pt x="84296" y="59817"/>
                </a:cubicBezTo>
                <a:cubicBezTo>
                  <a:pt x="84296" y="67627"/>
                  <a:pt x="86963" y="75247"/>
                  <a:pt x="92392" y="82296"/>
                </a:cubicBezTo>
                <a:cubicBezTo>
                  <a:pt x="97821" y="89440"/>
                  <a:pt x="106775" y="98774"/>
                  <a:pt x="119348" y="110395"/>
                </a:cubicBezTo>
                <a:cubicBezTo>
                  <a:pt x="134588" y="101632"/>
                  <a:pt x="144970" y="94679"/>
                  <a:pt x="150686" y="89344"/>
                </a:cubicBezTo>
                <a:moveTo>
                  <a:pt x="154114" y="248983"/>
                </a:moveTo>
                <a:cubicBezTo>
                  <a:pt x="166878" y="242506"/>
                  <a:pt x="176689" y="235172"/>
                  <a:pt x="183546" y="227076"/>
                </a:cubicBezTo>
                <a:lnTo>
                  <a:pt x="103727" y="149257"/>
                </a:lnTo>
                <a:cubicBezTo>
                  <a:pt x="81343" y="161258"/>
                  <a:pt x="66675" y="170497"/>
                  <a:pt x="59817" y="176879"/>
                </a:cubicBezTo>
                <a:cubicBezTo>
                  <a:pt x="49244" y="186499"/>
                  <a:pt x="44101" y="198215"/>
                  <a:pt x="44101" y="212026"/>
                </a:cubicBezTo>
                <a:cubicBezTo>
                  <a:pt x="44101" y="226981"/>
                  <a:pt x="50863" y="238601"/>
                  <a:pt x="64579" y="246697"/>
                </a:cubicBezTo>
                <a:cubicBezTo>
                  <a:pt x="78200" y="254698"/>
                  <a:pt x="92869" y="258699"/>
                  <a:pt x="108395" y="258699"/>
                </a:cubicBezTo>
                <a:cubicBezTo>
                  <a:pt x="126111" y="258699"/>
                  <a:pt x="141351" y="255556"/>
                  <a:pt x="154114" y="248983"/>
                </a:cubicBezTo>
                <a:moveTo>
                  <a:pt x="49816" y="90964"/>
                </a:moveTo>
                <a:cubicBezTo>
                  <a:pt x="44767" y="81534"/>
                  <a:pt x="42196" y="72390"/>
                  <a:pt x="42196" y="63722"/>
                </a:cubicBezTo>
                <a:cubicBezTo>
                  <a:pt x="42196" y="45529"/>
                  <a:pt x="49911" y="30289"/>
                  <a:pt x="65246" y="18193"/>
                </a:cubicBezTo>
                <a:cubicBezTo>
                  <a:pt x="80581" y="6001"/>
                  <a:pt x="101251" y="0"/>
                  <a:pt x="127063" y="0"/>
                </a:cubicBezTo>
                <a:cubicBezTo>
                  <a:pt x="151543" y="0"/>
                  <a:pt x="170688" y="5620"/>
                  <a:pt x="184499" y="16859"/>
                </a:cubicBezTo>
                <a:cubicBezTo>
                  <a:pt x="198311" y="28099"/>
                  <a:pt x="205264" y="41624"/>
                  <a:pt x="205264" y="57150"/>
                </a:cubicBezTo>
                <a:cubicBezTo>
                  <a:pt x="205264" y="75343"/>
                  <a:pt x="198120" y="91154"/>
                  <a:pt x="183832" y="104965"/>
                </a:cubicBezTo>
                <a:cubicBezTo>
                  <a:pt x="175450" y="112871"/>
                  <a:pt x="161639" y="122015"/>
                  <a:pt x="142018" y="132588"/>
                </a:cubicBezTo>
                <a:lnTo>
                  <a:pt x="206407" y="194024"/>
                </a:lnTo>
                <a:cubicBezTo>
                  <a:pt x="210407" y="183737"/>
                  <a:pt x="213074" y="176022"/>
                  <a:pt x="214693" y="170974"/>
                </a:cubicBezTo>
                <a:cubicBezTo>
                  <a:pt x="216312" y="165830"/>
                  <a:pt x="217837" y="158782"/>
                  <a:pt x="219456" y="149542"/>
                </a:cubicBezTo>
                <a:lnTo>
                  <a:pt x="261651" y="149542"/>
                </a:lnTo>
                <a:cubicBezTo>
                  <a:pt x="258985" y="167735"/>
                  <a:pt x="253555" y="185071"/>
                  <a:pt x="245269" y="201739"/>
                </a:cubicBezTo>
                <a:cubicBezTo>
                  <a:pt x="237077" y="218313"/>
                  <a:pt x="233076" y="224980"/>
                  <a:pt x="233076" y="221837"/>
                </a:cubicBezTo>
                <a:lnTo>
                  <a:pt x="294894" y="281940"/>
                </a:lnTo>
                <a:lnTo>
                  <a:pt x="240030" y="281940"/>
                </a:lnTo>
                <a:lnTo>
                  <a:pt x="206883" y="250412"/>
                </a:lnTo>
                <a:cubicBezTo>
                  <a:pt x="193738" y="261652"/>
                  <a:pt x="181737" y="269843"/>
                  <a:pt x="170783" y="274987"/>
                </a:cubicBezTo>
                <a:cubicBezTo>
                  <a:pt x="151733" y="284131"/>
                  <a:pt x="129826" y="288607"/>
                  <a:pt x="104965" y="288607"/>
                </a:cubicBezTo>
                <a:cubicBezTo>
                  <a:pt x="68199" y="288607"/>
                  <a:pt x="41624" y="280702"/>
                  <a:pt x="24860" y="264890"/>
                </a:cubicBezTo>
                <a:cubicBezTo>
                  <a:pt x="8287" y="249079"/>
                  <a:pt x="0" y="231362"/>
                  <a:pt x="0" y="211741"/>
                </a:cubicBezTo>
                <a:cubicBezTo>
                  <a:pt x="0" y="190309"/>
                  <a:pt x="8001" y="172593"/>
                  <a:pt x="24289" y="158401"/>
                </a:cubicBezTo>
                <a:cubicBezTo>
                  <a:pt x="34194" y="149828"/>
                  <a:pt x="52673" y="138874"/>
                  <a:pt x="79724" y="125825"/>
                </a:cubicBezTo>
                <a:cubicBezTo>
                  <a:pt x="64865" y="112014"/>
                  <a:pt x="54864" y="100393"/>
                  <a:pt x="49816" y="90964"/>
                </a:cubicBezTo>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1" name="Forma Livre: Forma 20">
            <a:extLst>
              <a:ext uri="{FF2B5EF4-FFF2-40B4-BE49-F238E27FC236}">
                <a16:creationId xmlns:a16="http://schemas.microsoft.com/office/drawing/2014/main" id="{4A8C09AC-276C-886E-E2F2-2FF49E91E4D4}"/>
              </a:ext>
            </a:extLst>
          </xdr:cNvPr>
          <xdr:cNvSpPr/>
        </xdr:nvSpPr>
        <xdr:spPr>
          <a:xfrm>
            <a:off x="11003964" y="11505511"/>
            <a:ext cx="338422" cy="282797"/>
          </a:xfrm>
          <a:custGeom>
            <a:avLst/>
            <a:gdLst>
              <a:gd name="connsiteX0" fmla="*/ 95 w 338422"/>
              <a:gd name="connsiteY0" fmla="*/ 0 h 282797"/>
              <a:gd name="connsiteX1" fmla="*/ 68008 w 338422"/>
              <a:gd name="connsiteY1" fmla="*/ 0 h 282797"/>
              <a:gd name="connsiteX2" fmla="*/ 169354 w 338422"/>
              <a:gd name="connsiteY2" fmla="*/ 239078 h 282797"/>
              <a:gd name="connsiteX3" fmla="*/ 270891 w 338422"/>
              <a:gd name="connsiteY3" fmla="*/ 0 h 282797"/>
              <a:gd name="connsiteX4" fmla="*/ 338423 w 338422"/>
              <a:gd name="connsiteY4" fmla="*/ 0 h 282797"/>
              <a:gd name="connsiteX5" fmla="*/ 338423 w 338422"/>
              <a:gd name="connsiteY5" fmla="*/ 282797 h 282797"/>
              <a:gd name="connsiteX6" fmla="*/ 293370 w 338422"/>
              <a:gd name="connsiteY6" fmla="*/ 282797 h 282797"/>
              <a:gd name="connsiteX7" fmla="*/ 293370 w 338422"/>
              <a:gd name="connsiteY7" fmla="*/ 115729 h 282797"/>
              <a:gd name="connsiteX8" fmla="*/ 294418 w 338422"/>
              <a:gd name="connsiteY8" fmla="*/ 87058 h 282797"/>
              <a:gd name="connsiteX9" fmla="*/ 295275 w 338422"/>
              <a:gd name="connsiteY9" fmla="*/ 44101 h 282797"/>
              <a:gd name="connsiteX10" fmla="*/ 192786 w 338422"/>
              <a:gd name="connsiteY10" fmla="*/ 282797 h 282797"/>
              <a:gd name="connsiteX11" fmla="*/ 145256 w 338422"/>
              <a:gd name="connsiteY11" fmla="*/ 282797 h 282797"/>
              <a:gd name="connsiteX12" fmla="*/ 43148 w 338422"/>
              <a:gd name="connsiteY12" fmla="*/ 44101 h 282797"/>
              <a:gd name="connsiteX13" fmla="*/ 43148 w 338422"/>
              <a:gd name="connsiteY13" fmla="*/ 52864 h 282797"/>
              <a:gd name="connsiteX14" fmla="*/ 44101 w 338422"/>
              <a:gd name="connsiteY14" fmla="*/ 84582 h 282797"/>
              <a:gd name="connsiteX15" fmla="*/ 45053 w 338422"/>
              <a:gd name="connsiteY15" fmla="*/ 115729 h 282797"/>
              <a:gd name="connsiteX16" fmla="*/ 45053 w 338422"/>
              <a:gd name="connsiteY16" fmla="*/ 282797 h 282797"/>
              <a:gd name="connsiteX17" fmla="*/ 0 w 338422"/>
              <a:gd name="connsiteY17" fmla="*/ 282797 h 282797"/>
              <a:gd name="connsiteX18" fmla="*/ 0 w 338422"/>
              <a:gd name="connsiteY18" fmla="*/ 0 h 2827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338422" h="282797">
                <a:moveTo>
                  <a:pt x="95" y="0"/>
                </a:moveTo>
                <a:lnTo>
                  <a:pt x="68008" y="0"/>
                </a:lnTo>
                <a:lnTo>
                  <a:pt x="169354" y="239078"/>
                </a:lnTo>
                <a:lnTo>
                  <a:pt x="270891" y="0"/>
                </a:lnTo>
                <a:lnTo>
                  <a:pt x="338423" y="0"/>
                </a:lnTo>
                <a:lnTo>
                  <a:pt x="338423" y="282797"/>
                </a:lnTo>
                <a:lnTo>
                  <a:pt x="293370" y="282797"/>
                </a:lnTo>
                <a:lnTo>
                  <a:pt x="293370" y="115729"/>
                </a:lnTo>
                <a:cubicBezTo>
                  <a:pt x="293370" y="110014"/>
                  <a:pt x="293751" y="100394"/>
                  <a:pt x="294418" y="87058"/>
                </a:cubicBezTo>
                <a:cubicBezTo>
                  <a:pt x="294989" y="73723"/>
                  <a:pt x="295275" y="59341"/>
                  <a:pt x="295275" y="44101"/>
                </a:cubicBezTo>
                <a:lnTo>
                  <a:pt x="192786" y="282797"/>
                </a:lnTo>
                <a:lnTo>
                  <a:pt x="145256" y="282797"/>
                </a:lnTo>
                <a:lnTo>
                  <a:pt x="43148" y="44101"/>
                </a:lnTo>
                <a:lnTo>
                  <a:pt x="43148" y="52864"/>
                </a:lnTo>
                <a:cubicBezTo>
                  <a:pt x="43148" y="59722"/>
                  <a:pt x="43529" y="70295"/>
                  <a:pt x="44101" y="84582"/>
                </a:cubicBezTo>
                <a:cubicBezTo>
                  <a:pt x="44767" y="98774"/>
                  <a:pt x="45053" y="109156"/>
                  <a:pt x="45053" y="115729"/>
                </a:cubicBezTo>
                <a:lnTo>
                  <a:pt x="45053" y="282797"/>
                </a:lnTo>
                <a:lnTo>
                  <a:pt x="0" y="282797"/>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2" name="Forma Livre: Forma 21">
            <a:extLst>
              <a:ext uri="{FF2B5EF4-FFF2-40B4-BE49-F238E27FC236}">
                <a16:creationId xmlns:a16="http://schemas.microsoft.com/office/drawing/2014/main" id="{D1C6C55C-1662-F880-AD99-5B76D96FA780}"/>
              </a:ext>
            </a:extLst>
          </xdr:cNvPr>
          <xdr:cNvSpPr/>
        </xdr:nvSpPr>
        <xdr:spPr>
          <a:xfrm>
            <a:off x="11369914" y="11578377"/>
            <a:ext cx="234314" cy="209931"/>
          </a:xfrm>
          <a:custGeom>
            <a:avLst/>
            <a:gdLst>
              <a:gd name="connsiteX0" fmla="*/ 157829 w 234314"/>
              <a:gd name="connsiteY0" fmla="*/ 123635 h 209931"/>
              <a:gd name="connsiteX1" fmla="*/ 117443 w 234314"/>
              <a:gd name="connsiteY1" fmla="*/ 31052 h 209931"/>
              <a:gd name="connsiteX2" fmla="*/ 75533 w 234314"/>
              <a:gd name="connsiteY2" fmla="*/ 123635 h 209931"/>
              <a:gd name="connsiteX3" fmla="*/ 157829 w 234314"/>
              <a:gd name="connsiteY3" fmla="*/ 123635 h 209931"/>
              <a:gd name="connsiteX4" fmla="*/ 98965 w 234314"/>
              <a:gd name="connsiteY4" fmla="*/ 0 h 209931"/>
              <a:gd name="connsiteX5" fmla="*/ 139065 w 234314"/>
              <a:gd name="connsiteY5" fmla="*/ 0 h 209931"/>
              <a:gd name="connsiteX6" fmla="*/ 234315 w 234314"/>
              <a:gd name="connsiteY6" fmla="*/ 209931 h 209931"/>
              <a:gd name="connsiteX7" fmla="*/ 195358 w 234314"/>
              <a:gd name="connsiteY7" fmla="*/ 209931 h 209931"/>
              <a:gd name="connsiteX8" fmla="*/ 167830 w 234314"/>
              <a:gd name="connsiteY8" fmla="*/ 146685 h 209931"/>
              <a:gd name="connsiteX9" fmla="*/ 65056 w 234314"/>
              <a:gd name="connsiteY9" fmla="*/ 146685 h 209931"/>
              <a:gd name="connsiteX10" fmla="*/ 36481 w 234314"/>
              <a:gd name="connsiteY10" fmla="*/ 209931 h 209931"/>
              <a:gd name="connsiteX11" fmla="*/ 0 w 234314"/>
              <a:gd name="connsiteY11" fmla="*/ 209931 h 209931"/>
              <a:gd name="connsiteX12" fmla="*/ 98965 w 234314"/>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4" h="209931">
                <a:moveTo>
                  <a:pt x="157829" y="123635"/>
                </a:moveTo>
                <a:lnTo>
                  <a:pt x="117443" y="31052"/>
                </a:lnTo>
                <a:lnTo>
                  <a:pt x="75533" y="123635"/>
                </a:lnTo>
                <a:lnTo>
                  <a:pt x="157829" y="123635"/>
                </a:lnTo>
                <a:close/>
                <a:moveTo>
                  <a:pt x="98965" y="0"/>
                </a:moveTo>
                <a:lnTo>
                  <a:pt x="139065" y="0"/>
                </a:lnTo>
                <a:lnTo>
                  <a:pt x="234315" y="209931"/>
                </a:lnTo>
                <a:lnTo>
                  <a:pt x="195358" y="209931"/>
                </a:lnTo>
                <a:lnTo>
                  <a:pt x="167830" y="146685"/>
                </a:lnTo>
                <a:lnTo>
                  <a:pt x="65056" y="146685"/>
                </a:lnTo>
                <a:lnTo>
                  <a:pt x="36481" y="209931"/>
                </a:lnTo>
                <a:lnTo>
                  <a:pt x="0" y="209931"/>
                </a:lnTo>
                <a:lnTo>
                  <a:pt x="98965"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3" name="Forma Livre: Forma 22">
            <a:extLst>
              <a:ext uri="{FF2B5EF4-FFF2-40B4-BE49-F238E27FC236}">
                <a16:creationId xmlns:a16="http://schemas.microsoft.com/office/drawing/2014/main" id="{8D281174-1960-EC1E-DDB7-0EC147CBA4A9}"/>
              </a:ext>
            </a:extLst>
          </xdr:cNvPr>
          <xdr:cNvSpPr/>
        </xdr:nvSpPr>
        <xdr:spPr>
          <a:xfrm>
            <a:off x="11635090" y="11578377"/>
            <a:ext cx="213836" cy="209835"/>
          </a:xfrm>
          <a:custGeom>
            <a:avLst/>
            <a:gdLst>
              <a:gd name="connsiteX0" fmla="*/ 115253 w 213836"/>
              <a:gd name="connsiteY0" fmla="*/ 96298 h 209835"/>
              <a:gd name="connsiteX1" fmla="*/ 153448 w 213836"/>
              <a:gd name="connsiteY1" fmla="*/ 88297 h 209835"/>
              <a:gd name="connsiteX2" fmla="*/ 167450 w 213836"/>
              <a:gd name="connsiteY2" fmla="*/ 59627 h 209835"/>
              <a:gd name="connsiteX3" fmla="*/ 147828 w 213836"/>
              <a:gd name="connsiteY3" fmla="*/ 29146 h 209835"/>
              <a:gd name="connsiteX4" fmla="*/ 119825 w 213836"/>
              <a:gd name="connsiteY4" fmla="*/ 24860 h 209835"/>
              <a:gd name="connsiteX5" fmla="*/ 36005 w 213836"/>
              <a:gd name="connsiteY5" fmla="*/ 24860 h 209835"/>
              <a:gd name="connsiteX6" fmla="*/ 36005 w 213836"/>
              <a:gd name="connsiteY6" fmla="*/ 96298 h 209835"/>
              <a:gd name="connsiteX7" fmla="*/ 115253 w 213836"/>
              <a:gd name="connsiteY7" fmla="*/ 96298 h 209835"/>
              <a:gd name="connsiteX8" fmla="*/ 95 w 213836"/>
              <a:gd name="connsiteY8" fmla="*/ 0 h 209835"/>
              <a:gd name="connsiteX9" fmla="*/ 119158 w 213836"/>
              <a:gd name="connsiteY9" fmla="*/ 0 h 209835"/>
              <a:gd name="connsiteX10" fmla="*/ 167640 w 213836"/>
              <a:gd name="connsiteY10" fmla="*/ 6953 h 209835"/>
              <a:gd name="connsiteX11" fmla="*/ 203835 w 213836"/>
              <a:gd name="connsiteY11" fmla="*/ 56674 h 209835"/>
              <a:gd name="connsiteX12" fmla="*/ 194025 w 213836"/>
              <a:gd name="connsiteY12" fmla="*/ 87439 h 209835"/>
              <a:gd name="connsiteX13" fmla="*/ 166593 w 213836"/>
              <a:gd name="connsiteY13" fmla="*/ 106775 h 209835"/>
              <a:gd name="connsiteX14" fmla="*/ 189738 w 213836"/>
              <a:gd name="connsiteY14" fmla="*/ 119920 h 209835"/>
              <a:gd name="connsiteX15" fmla="*/ 198501 w 213836"/>
              <a:gd name="connsiteY15" fmla="*/ 146304 h 209835"/>
              <a:gd name="connsiteX16" fmla="*/ 199930 w 213836"/>
              <a:gd name="connsiteY16" fmla="*/ 174403 h 209835"/>
              <a:gd name="connsiteX17" fmla="*/ 202406 w 213836"/>
              <a:gd name="connsiteY17" fmla="*/ 192214 h 209835"/>
              <a:gd name="connsiteX18" fmla="*/ 213836 w 213836"/>
              <a:gd name="connsiteY18" fmla="*/ 204978 h 209835"/>
              <a:gd name="connsiteX19" fmla="*/ 213836 w 213836"/>
              <a:gd name="connsiteY19" fmla="*/ 209836 h 209835"/>
              <a:gd name="connsiteX20" fmla="*/ 169831 w 213836"/>
              <a:gd name="connsiteY20" fmla="*/ 209836 h 209835"/>
              <a:gd name="connsiteX21" fmla="*/ 167069 w 213836"/>
              <a:gd name="connsiteY21" fmla="*/ 202787 h 209835"/>
              <a:gd name="connsiteX22" fmla="*/ 165450 w 213836"/>
              <a:gd name="connsiteY22" fmla="*/ 186404 h 209835"/>
              <a:gd name="connsiteX23" fmla="*/ 163545 w 213836"/>
              <a:gd name="connsiteY23" fmla="*/ 151257 h 209835"/>
              <a:gd name="connsiteX24" fmla="*/ 145066 w 213836"/>
              <a:gd name="connsiteY24" fmla="*/ 123635 h 209835"/>
              <a:gd name="connsiteX25" fmla="*/ 114110 w 213836"/>
              <a:gd name="connsiteY25" fmla="*/ 119729 h 209835"/>
              <a:gd name="connsiteX26" fmla="*/ 35909 w 213836"/>
              <a:gd name="connsiteY26" fmla="*/ 119729 h 209835"/>
              <a:gd name="connsiteX27" fmla="*/ 35909 w 213836"/>
              <a:gd name="connsiteY27" fmla="*/ 209836 h 209835"/>
              <a:gd name="connsiteX28" fmla="*/ 0 w 213836"/>
              <a:gd name="connsiteY28" fmla="*/ 209836 h 209835"/>
              <a:gd name="connsiteX29" fmla="*/ 0 w 213836"/>
              <a:gd name="connsiteY29" fmla="*/ 0 h 2098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213836" h="209835">
                <a:moveTo>
                  <a:pt x="115253" y="96298"/>
                </a:moveTo>
                <a:cubicBezTo>
                  <a:pt x="131350" y="96298"/>
                  <a:pt x="144019" y="93631"/>
                  <a:pt x="153448" y="88297"/>
                </a:cubicBezTo>
                <a:cubicBezTo>
                  <a:pt x="162783" y="82963"/>
                  <a:pt x="167450" y="73343"/>
                  <a:pt x="167450" y="59627"/>
                </a:cubicBezTo>
                <a:cubicBezTo>
                  <a:pt x="167450" y="44672"/>
                  <a:pt x="160877" y="34480"/>
                  <a:pt x="147828" y="29146"/>
                </a:cubicBezTo>
                <a:cubicBezTo>
                  <a:pt x="140875" y="26289"/>
                  <a:pt x="131445" y="24860"/>
                  <a:pt x="119825" y="24860"/>
                </a:cubicBezTo>
                <a:lnTo>
                  <a:pt x="36005" y="24860"/>
                </a:lnTo>
                <a:lnTo>
                  <a:pt x="36005" y="96298"/>
                </a:lnTo>
                <a:lnTo>
                  <a:pt x="115253" y="96298"/>
                </a:lnTo>
                <a:close/>
                <a:moveTo>
                  <a:pt x="95" y="0"/>
                </a:moveTo>
                <a:lnTo>
                  <a:pt x="119158" y="0"/>
                </a:lnTo>
                <a:cubicBezTo>
                  <a:pt x="138779" y="0"/>
                  <a:pt x="154972" y="2286"/>
                  <a:pt x="167640" y="6953"/>
                </a:cubicBezTo>
                <a:cubicBezTo>
                  <a:pt x="191834" y="16002"/>
                  <a:pt x="203835" y="32576"/>
                  <a:pt x="203835" y="56674"/>
                </a:cubicBezTo>
                <a:cubicBezTo>
                  <a:pt x="203835" y="69247"/>
                  <a:pt x="200596" y="79438"/>
                  <a:pt x="194025" y="87439"/>
                </a:cubicBezTo>
                <a:cubicBezTo>
                  <a:pt x="187453" y="95440"/>
                  <a:pt x="178308" y="101918"/>
                  <a:pt x="166593" y="106775"/>
                </a:cubicBezTo>
                <a:cubicBezTo>
                  <a:pt x="176879" y="110109"/>
                  <a:pt x="184595" y="114395"/>
                  <a:pt x="189738" y="119920"/>
                </a:cubicBezTo>
                <a:cubicBezTo>
                  <a:pt x="194977" y="125349"/>
                  <a:pt x="197834" y="134112"/>
                  <a:pt x="198501" y="146304"/>
                </a:cubicBezTo>
                <a:lnTo>
                  <a:pt x="199930" y="174403"/>
                </a:lnTo>
                <a:cubicBezTo>
                  <a:pt x="200311" y="182404"/>
                  <a:pt x="201073" y="188404"/>
                  <a:pt x="202406" y="192214"/>
                </a:cubicBezTo>
                <a:cubicBezTo>
                  <a:pt x="204597" y="198882"/>
                  <a:pt x="208407" y="203168"/>
                  <a:pt x="213836" y="204978"/>
                </a:cubicBezTo>
                <a:lnTo>
                  <a:pt x="213836" y="209836"/>
                </a:lnTo>
                <a:lnTo>
                  <a:pt x="169831" y="209836"/>
                </a:lnTo>
                <a:cubicBezTo>
                  <a:pt x="168688" y="208026"/>
                  <a:pt x="167736" y="205740"/>
                  <a:pt x="167069" y="202787"/>
                </a:cubicBezTo>
                <a:cubicBezTo>
                  <a:pt x="166497" y="199930"/>
                  <a:pt x="165831" y="194405"/>
                  <a:pt x="165450" y="186404"/>
                </a:cubicBezTo>
                <a:lnTo>
                  <a:pt x="163545" y="151257"/>
                </a:lnTo>
                <a:cubicBezTo>
                  <a:pt x="162687" y="137446"/>
                  <a:pt x="156591" y="128302"/>
                  <a:pt x="145066" y="123635"/>
                </a:cubicBezTo>
                <a:cubicBezTo>
                  <a:pt x="138494" y="120968"/>
                  <a:pt x="128207" y="119729"/>
                  <a:pt x="114110" y="119729"/>
                </a:cubicBezTo>
                <a:lnTo>
                  <a:pt x="35909" y="119729"/>
                </a:lnTo>
                <a:lnTo>
                  <a:pt x="35909" y="209836"/>
                </a:lnTo>
                <a:lnTo>
                  <a:pt x="0" y="209836"/>
                </a:lnTo>
                <a:lnTo>
                  <a:pt x="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4" name="Forma Livre: Forma 23">
            <a:extLst>
              <a:ext uri="{FF2B5EF4-FFF2-40B4-BE49-F238E27FC236}">
                <a16:creationId xmlns:a16="http://schemas.microsoft.com/office/drawing/2014/main" id="{F5D0FFC6-FD83-F21D-9E79-EC0BC884AA83}"/>
              </a:ext>
            </a:extLst>
          </xdr:cNvPr>
          <xdr:cNvSpPr/>
        </xdr:nvSpPr>
        <xdr:spPr>
          <a:xfrm>
            <a:off x="11870161" y="11573614"/>
            <a:ext cx="203841" cy="220789"/>
          </a:xfrm>
          <a:custGeom>
            <a:avLst/>
            <a:gdLst>
              <a:gd name="connsiteX0" fmla="*/ 33725 w 203841"/>
              <a:gd name="connsiteY0" fmla="*/ 146971 h 220789"/>
              <a:gd name="connsiteX1" fmla="*/ 43822 w 203841"/>
              <a:gd name="connsiteY1" fmla="*/ 176022 h 220789"/>
              <a:gd name="connsiteX2" fmla="*/ 103638 w 203841"/>
              <a:gd name="connsiteY2" fmla="*/ 196977 h 220789"/>
              <a:gd name="connsiteX3" fmla="*/ 138691 w 203841"/>
              <a:gd name="connsiteY3" fmla="*/ 192310 h 220789"/>
              <a:gd name="connsiteX4" fmla="*/ 169266 w 203841"/>
              <a:gd name="connsiteY4" fmla="*/ 160782 h 220789"/>
              <a:gd name="connsiteX5" fmla="*/ 156216 w 203841"/>
              <a:gd name="connsiteY5" fmla="*/ 136303 h 220789"/>
              <a:gd name="connsiteX6" fmla="*/ 115068 w 203841"/>
              <a:gd name="connsiteY6" fmla="*/ 123920 h 220789"/>
              <a:gd name="connsiteX7" fmla="*/ 80493 w 203841"/>
              <a:gd name="connsiteY7" fmla="*/ 117538 h 220789"/>
              <a:gd name="connsiteX8" fmla="*/ 32868 w 203841"/>
              <a:gd name="connsiteY8" fmla="*/ 103727 h 220789"/>
              <a:gd name="connsiteX9" fmla="*/ 8674 w 203841"/>
              <a:gd name="connsiteY9" fmla="*/ 64484 h 220789"/>
              <a:gd name="connsiteX10" fmla="*/ 32487 w 203841"/>
              <a:gd name="connsiteY10" fmla="*/ 18097 h 220789"/>
              <a:gd name="connsiteX11" fmla="*/ 99924 w 203841"/>
              <a:gd name="connsiteY11" fmla="*/ 0 h 220789"/>
              <a:gd name="connsiteX12" fmla="*/ 168123 w 203841"/>
              <a:gd name="connsiteY12" fmla="*/ 15907 h 220789"/>
              <a:gd name="connsiteX13" fmla="*/ 196126 w 203841"/>
              <a:gd name="connsiteY13" fmla="*/ 66675 h 220789"/>
              <a:gd name="connsiteX14" fmla="*/ 162503 w 203841"/>
              <a:gd name="connsiteY14" fmla="*/ 66675 h 220789"/>
              <a:gd name="connsiteX15" fmla="*/ 151549 w 203841"/>
              <a:gd name="connsiteY15" fmla="*/ 40862 h 220789"/>
              <a:gd name="connsiteX16" fmla="*/ 98781 w 203841"/>
              <a:gd name="connsiteY16" fmla="*/ 24479 h 220789"/>
              <a:gd name="connsiteX17" fmla="*/ 55442 w 203841"/>
              <a:gd name="connsiteY17" fmla="*/ 35052 h 220789"/>
              <a:gd name="connsiteX18" fmla="*/ 42298 w 203841"/>
              <a:gd name="connsiteY18" fmla="*/ 59627 h 220789"/>
              <a:gd name="connsiteX19" fmla="*/ 57823 w 203841"/>
              <a:gd name="connsiteY19" fmla="*/ 82105 h 220789"/>
              <a:gd name="connsiteX20" fmla="*/ 104020 w 203841"/>
              <a:gd name="connsiteY20" fmla="*/ 93536 h 220789"/>
              <a:gd name="connsiteX21" fmla="*/ 139643 w 203841"/>
              <a:gd name="connsiteY21" fmla="*/ 100013 h 220789"/>
              <a:gd name="connsiteX22" fmla="*/ 179553 w 203841"/>
              <a:gd name="connsiteY22" fmla="*/ 113538 h 220789"/>
              <a:gd name="connsiteX23" fmla="*/ 203841 w 203841"/>
              <a:gd name="connsiteY23" fmla="*/ 156020 h 220789"/>
              <a:gd name="connsiteX24" fmla="*/ 172981 w 203841"/>
              <a:gd name="connsiteY24" fmla="*/ 205835 h 220789"/>
              <a:gd name="connsiteX25" fmla="*/ 101162 w 203841"/>
              <a:gd name="connsiteY25" fmla="*/ 220789 h 220789"/>
              <a:gd name="connsiteX26" fmla="*/ 26486 w 203841"/>
              <a:gd name="connsiteY26" fmla="*/ 200787 h 220789"/>
              <a:gd name="connsiteX27" fmla="*/ 7 w 203841"/>
              <a:gd name="connsiteY27" fmla="*/ 146971 h 220789"/>
              <a:gd name="connsiteX28" fmla="*/ 33725 w 203841"/>
              <a:gd name="connsiteY28" fmla="*/ 146971 h 2207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203841" h="220789">
                <a:moveTo>
                  <a:pt x="33725" y="146971"/>
                </a:moveTo>
                <a:cubicBezTo>
                  <a:pt x="34392" y="158972"/>
                  <a:pt x="37916" y="168593"/>
                  <a:pt x="43822" y="176022"/>
                </a:cubicBezTo>
                <a:cubicBezTo>
                  <a:pt x="55156" y="189929"/>
                  <a:pt x="75159" y="196977"/>
                  <a:pt x="103638" y="196977"/>
                </a:cubicBezTo>
                <a:cubicBezTo>
                  <a:pt x="116497" y="196977"/>
                  <a:pt x="128118" y="195453"/>
                  <a:pt x="138691" y="192310"/>
                </a:cubicBezTo>
                <a:cubicBezTo>
                  <a:pt x="159074" y="186595"/>
                  <a:pt x="169266" y="176022"/>
                  <a:pt x="169266" y="160782"/>
                </a:cubicBezTo>
                <a:cubicBezTo>
                  <a:pt x="169266" y="149352"/>
                  <a:pt x="164885" y="141161"/>
                  <a:pt x="156216" y="136303"/>
                </a:cubicBezTo>
                <a:cubicBezTo>
                  <a:pt x="147454" y="131540"/>
                  <a:pt x="133833" y="127445"/>
                  <a:pt x="115068" y="123920"/>
                </a:cubicBezTo>
                <a:lnTo>
                  <a:pt x="80493" y="117538"/>
                </a:lnTo>
                <a:cubicBezTo>
                  <a:pt x="58014" y="113347"/>
                  <a:pt x="42107" y="108776"/>
                  <a:pt x="32868" y="103727"/>
                </a:cubicBezTo>
                <a:cubicBezTo>
                  <a:pt x="16676" y="94964"/>
                  <a:pt x="8674" y="81820"/>
                  <a:pt x="8674" y="64484"/>
                </a:cubicBezTo>
                <a:cubicBezTo>
                  <a:pt x="8674" y="45625"/>
                  <a:pt x="16676" y="30194"/>
                  <a:pt x="32487" y="18097"/>
                </a:cubicBezTo>
                <a:cubicBezTo>
                  <a:pt x="48298" y="6001"/>
                  <a:pt x="70777" y="0"/>
                  <a:pt x="99924" y="0"/>
                </a:cubicBezTo>
                <a:cubicBezTo>
                  <a:pt x="126594" y="0"/>
                  <a:pt x="149454" y="5334"/>
                  <a:pt x="168123" y="15907"/>
                </a:cubicBezTo>
                <a:cubicBezTo>
                  <a:pt x="186792" y="26479"/>
                  <a:pt x="196126" y="43339"/>
                  <a:pt x="196126" y="66675"/>
                </a:cubicBezTo>
                <a:lnTo>
                  <a:pt x="162503" y="66675"/>
                </a:lnTo>
                <a:cubicBezTo>
                  <a:pt x="160788" y="55531"/>
                  <a:pt x="157264" y="46958"/>
                  <a:pt x="151549" y="40862"/>
                </a:cubicBezTo>
                <a:cubicBezTo>
                  <a:pt x="141167" y="30004"/>
                  <a:pt x="123546" y="24479"/>
                  <a:pt x="98781" y="24479"/>
                </a:cubicBezTo>
                <a:cubicBezTo>
                  <a:pt x="78588" y="24479"/>
                  <a:pt x="64205" y="28004"/>
                  <a:pt x="55442" y="35052"/>
                </a:cubicBezTo>
                <a:cubicBezTo>
                  <a:pt x="46679" y="42101"/>
                  <a:pt x="42298" y="50292"/>
                  <a:pt x="42298" y="59627"/>
                </a:cubicBezTo>
                <a:cubicBezTo>
                  <a:pt x="42298" y="69818"/>
                  <a:pt x="47441" y="77343"/>
                  <a:pt x="57823" y="82105"/>
                </a:cubicBezTo>
                <a:cubicBezTo>
                  <a:pt x="64681" y="85344"/>
                  <a:pt x="80112" y="89059"/>
                  <a:pt x="104020" y="93536"/>
                </a:cubicBezTo>
                <a:lnTo>
                  <a:pt x="139643" y="100013"/>
                </a:lnTo>
                <a:cubicBezTo>
                  <a:pt x="156883" y="103442"/>
                  <a:pt x="170123" y="107918"/>
                  <a:pt x="179553" y="113538"/>
                </a:cubicBezTo>
                <a:cubicBezTo>
                  <a:pt x="195745" y="123349"/>
                  <a:pt x="203841" y="137446"/>
                  <a:pt x="203841" y="156020"/>
                </a:cubicBezTo>
                <a:cubicBezTo>
                  <a:pt x="203841" y="179261"/>
                  <a:pt x="193554" y="195834"/>
                  <a:pt x="172981" y="205835"/>
                </a:cubicBezTo>
                <a:cubicBezTo>
                  <a:pt x="152311" y="215741"/>
                  <a:pt x="128404" y="220789"/>
                  <a:pt x="101162" y="220789"/>
                </a:cubicBezTo>
                <a:cubicBezTo>
                  <a:pt x="69444" y="220789"/>
                  <a:pt x="44488" y="214122"/>
                  <a:pt x="26486" y="200787"/>
                </a:cubicBezTo>
                <a:cubicBezTo>
                  <a:pt x="8484" y="187547"/>
                  <a:pt x="-279" y="169640"/>
                  <a:pt x="7" y="146971"/>
                </a:cubicBezTo>
                <a:lnTo>
                  <a:pt x="33725" y="14697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5" name="Forma Livre: Forma 24">
            <a:extLst>
              <a:ext uri="{FF2B5EF4-FFF2-40B4-BE49-F238E27FC236}">
                <a16:creationId xmlns:a16="http://schemas.microsoft.com/office/drawing/2014/main" id="{0549BA8D-FF09-A512-0DEF-A73FDFDA0A39}"/>
              </a:ext>
            </a:extLst>
          </xdr:cNvPr>
          <xdr:cNvSpPr/>
        </xdr:nvSpPr>
        <xdr:spPr>
          <a:xfrm>
            <a:off x="12085242" y="11578377"/>
            <a:ext cx="234315" cy="209931"/>
          </a:xfrm>
          <a:custGeom>
            <a:avLst/>
            <a:gdLst>
              <a:gd name="connsiteX0" fmla="*/ 157925 w 234315"/>
              <a:gd name="connsiteY0" fmla="*/ 123635 h 209931"/>
              <a:gd name="connsiteX1" fmla="*/ 117634 w 234315"/>
              <a:gd name="connsiteY1" fmla="*/ 31052 h 209931"/>
              <a:gd name="connsiteX2" fmla="*/ 75629 w 234315"/>
              <a:gd name="connsiteY2" fmla="*/ 123635 h 209931"/>
              <a:gd name="connsiteX3" fmla="*/ 157925 w 234315"/>
              <a:gd name="connsiteY3" fmla="*/ 123635 h 209931"/>
              <a:gd name="connsiteX4" fmla="*/ 99060 w 234315"/>
              <a:gd name="connsiteY4" fmla="*/ 0 h 209931"/>
              <a:gd name="connsiteX5" fmla="*/ 139161 w 234315"/>
              <a:gd name="connsiteY5" fmla="*/ 0 h 209931"/>
              <a:gd name="connsiteX6" fmla="*/ 234315 w 234315"/>
              <a:gd name="connsiteY6" fmla="*/ 209931 h 209931"/>
              <a:gd name="connsiteX7" fmla="*/ 195358 w 234315"/>
              <a:gd name="connsiteY7" fmla="*/ 209931 h 209931"/>
              <a:gd name="connsiteX8" fmla="*/ 167830 w 234315"/>
              <a:gd name="connsiteY8" fmla="*/ 146685 h 209931"/>
              <a:gd name="connsiteX9" fmla="*/ 65151 w 234315"/>
              <a:gd name="connsiteY9" fmla="*/ 146685 h 209931"/>
              <a:gd name="connsiteX10" fmla="*/ 36481 w 234315"/>
              <a:gd name="connsiteY10" fmla="*/ 209931 h 209931"/>
              <a:gd name="connsiteX11" fmla="*/ 0 w 234315"/>
              <a:gd name="connsiteY11" fmla="*/ 209931 h 209931"/>
              <a:gd name="connsiteX12" fmla="*/ 99060 w 234315"/>
              <a:gd name="connsiteY12" fmla="*/ 0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34315" h="209931">
                <a:moveTo>
                  <a:pt x="157925" y="123635"/>
                </a:moveTo>
                <a:lnTo>
                  <a:pt x="117634" y="31052"/>
                </a:lnTo>
                <a:lnTo>
                  <a:pt x="75629" y="123635"/>
                </a:lnTo>
                <a:lnTo>
                  <a:pt x="157925" y="123635"/>
                </a:lnTo>
                <a:close/>
                <a:moveTo>
                  <a:pt x="99060" y="0"/>
                </a:moveTo>
                <a:lnTo>
                  <a:pt x="139161" y="0"/>
                </a:lnTo>
                <a:lnTo>
                  <a:pt x="234315" y="209931"/>
                </a:lnTo>
                <a:lnTo>
                  <a:pt x="195358" y="209931"/>
                </a:lnTo>
                <a:lnTo>
                  <a:pt x="167830" y="146685"/>
                </a:lnTo>
                <a:lnTo>
                  <a:pt x="65151" y="146685"/>
                </a:lnTo>
                <a:lnTo>
                  <a:pt x="36481" y="209931"/>
                </a:lnTo>
                <a:lnTo>
                  <a:pt x="0" y="209931"/>
                </a:lnTo>
                <a:lnTo>
                  <a:pt x="99060" y="0"/>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sp macro="" textlink="">
        <xdr:nvSpPr>
          <xdr:cNvPr id="16" name="Forma Livre: Forma 25">
            <a:extLst>
              <a:ext uri="{FF2B5EF4-FFF2-40B4-BE49-F238E27FC236}">
                <a16:creationId xmlns:a16="http://schemas.microsoft.com/office/drawing/2014/main" id="{73821D5F-675A-D4A9-4E5D-542A6C0A9727}"/>
              </a:ext>
            </a:extLst>
          </xdr:cNvPr>
          <xdr:cNvSpPr/>
        </xdr:nvSpPr>
        <xdr:spPr>
          <a:xfrm>
            <a:off x="12341178" y="11578377"/>
            <a:ext cx="167354" cy="209931"/>
          </a:xfrm>
          <a:custGeom>
            <a:avLst/>
            <a:gdLst>
              <a:gd name="connsiteX0" fmla="*/ 0 w 167354"/>
              <a:gd name="connsiteY0" fmla="*/ 0 h 209931"/>
              <a:gd name="connsiteX1" fmla="*/ 36005 w 167354"/>
              <a:gd name="connsiteY1" fmla="*/ 0 h 209931"/>
              <a:gd name="connsiteX2" fmla="*/ 36005 w 167354"/>
              <a:gd name="connsiteY2" fmla="*/ 184976 h 209931"/>
              <a:gd name="connsiteX3" fmla="*/ 167354 w 167354"/>
              <a:gd name="connsiteY3" fmla="*/ 184976 h 209931"/>
              <a:gd name="connsiteX4" fmla="*/ 167354 w 167354"/>
              <a:gd name="connsiteY4" fmla="*/ 209931 h 209931"/>
              <a:gd name="connsiteX5" fmla="*/ 0 w 167354"/>
              <a:gd name="connsiteY5" fmla="*/ 209931 h 2099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354" h="209931">
                <a:moveTo>
                  <a:pt x="0" y="0"/>
                </a:moveTo>
                <a:lnTo>
                  <a:pt x="36005" y="0"/>
                </a:lnTo>
                <a:lnTo>
                  <a:pt x="36005" y="184976"/>
                </a:lnTo>
                <a:lnTo>
                  <a:pt x="167354" y="184976"/>
                </a:lnTo>
                <a:lnTo>
                  <a:pt x="167354" y="209931"/>
                </a:lnTo>
                <a:lnTo>
                  <a:pt x="0" y="209931"/>
                </a:lnTo>
                <a:close/>
              </a:path>
            </a:pathLst>
          </a:custGeom>
          <a:grpFill/>
          <a:ln w="9525" cap="flat">
            <a:noFill/>
            <a:prstDash val="solid"/>
            <a:miter/>
          </a:ln>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41"/>
            <a:endParaRPr lang="pt-BR">
              <a:solidFill>
                <a:prstClr val="black"/>
              </a:solidFill>
              <a:latin typeface="Calibri" panose="020F0502020204030204"/>
            </a:endParaRPr>
          </a:p>
        </xdr:txBody>
      </xdr:sp>
    </xdr:grpSp>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tinfoalvarezandmarsalbra.sharepoint.com/sites/Sanepar-PDNN/Shared%20Documents/Geral/07.%20Produto%203/NN1%20-%20Coprocessamento/Dados%20Operacionais/Volumes%20e%20Log&#237;stica%20-%20Consolidado.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do ETA"/>
      <sheetName val="Lodo ETE - Atuba"/>
      <sheetName val="Lodo ETE - Belém"/>
      <sheetName val="Areia e Lixo"/>
      <sheetName val="Lodo ETE - Secagem"/>
      <sheetName val="Motoristas"/>
      <sheetName val="Dinâmica"/>
      <sheetName val="Layout"/>
      <sheetName val="Consolidado (2)"/>
      <sheetName val="Consolidado"/>
      <sheetName val="Frota e Motoristas"/>
      <sheetName val="Aux - Pessoal"/>
      <sheetName val="Aux - Capex.Opex"/>
      <sheetName val="Aux - Capex.Opex_Terceirização"/>
      <sheetName val="Composição - Capex (P)"/>
      <sheetName val="Composição - Opex (P)"/>
      <sheetName val="Composição - Capex (T)"/>
      <sheetName val="Composição - Opex (T)"/>
      <sheetName val="Sheet6"/>
    </sheetNames>
    <sheetDataSet>
      <sheetData sheetId="0"/>
      <sheetData sheetId="1"/>
      <sheetData sheetId="2"/>
      <sheetData sheetId="3"/>
      <sheetData sheetId="4"/>
      <sheetData sheetId="5"/>
      <sheetData sheetId="6"/>
      <sheetData sheetId="7"/>
      <sheetData sheetId="8"/>
      <sheetData sheetId="9"/>
      <sheetData sheetId="10"/>
      <sheetData sheetId="11">
        <row r="28">
          <cell r="AL28" t="str">
            <v>Salário</v>
          </cell>
          <cell r="AM28" t="str">
            <v>Adicionais</v>
          </cell>
          <cell r="AN28" t="str">
            <v>Provisões</v>
          </cell>
          <cell r="AO28" t="str">
            <v>Encargos</v>
          </cell>
          <cell r="AP28" t="str">
            <v>Benefícios</v>
          </cell>
          <cell r="AQ28" t="str">
            <v>Custo</v>
          </cell>
        </row>
        <row r="29">
          <cell r="AL29">
            <v>3293.0232558139537</v>
          </cell>
          <cell r="AM29">
            <v>2585.4991055456171</v>
          </cell>
          <cell r="AN29">
            <v>986.28541840588355</v>
          </cell>
          <cell r="AO29">
            <v>2155.4581991651762</v>
          </cell>
          <cell r="AP29">
            <v>1837.8697674418604</v>
          </cell>
          <cell r="AQ29">
            <v>10858.135746372491</v>
          </cell>
        </row>
      </sheetData>
      <sheetData sheetId="12"/>
      <sheetData sheetId="13"/>
      <sheetData sheetId="14"/>
      <sheetData sheetId="15"/>
      <sheetData sheetId="16"/>
      <sheetData sheetId="17"/>
      <sheetData sheetId="18"/>
    </sheetDataSet>
  </externalBook>
</externalLink>
</file>

<file path=xl/persons/person.xml><?xml version="1.0" encoding="utf-8"?>
<personList xmlns="http://schemas.microsoft.com/office/spreadsheetml/2018/threadedcomments" xmlns:x="http://schemas.openxmlformats.org/spreadsheetml/2006/main">
  <person displayName="Dalseno, Thais" id="{FE154ECD-0169-49C3-99B3-5F857AB25C23}" userId="S::TDalseno@alvarezandmarsal.com::71307eea-d8a6-4da8-8a0c-0e1eae15dc6f"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connectionId="1" xr16:uid="{98207FB6-5ABA-44FF-8CC7-D0454C00B596}" autoFormatId="16" applyNumberFormats="0" applyBorderFormats="0" applyFontFormats="0" applyPatternFormats="0" applyAlignmentFormats="0" applyWidthHeightFormats="0">
  <queryTableRefresh nextId="12" unboundColumnsRight="1">
    <queryTableFields count="11">
      <queryTableField id="1" name="ETAR" tableColumnId="1"/>
      <queryTableField id="2" name="VAZÃO_x000a_MÉDIA_x000a_(L/s)" tableColumnId="2"/>
      <queryTableField id="3" name="VAZÃO_x000a_MÁXIMA_x000a_(L/s)" tableColumnId="3"/>
      <queryTableField id="4" name="VOLUME DE_x000a_VENDAS_x000a_m³" tableColumnId="4"/>
      <queryTableField id="5" name="CAPEX_x000a_R$" tableColumnId="5"/>
      <queryTableField id="6" name="REINVESTIMENTO_x000a_R$" tableColumnId="6"/>
      <queryTableField id="7" name="ENERGIA_x000a_R$/m³" tableColumnId="7"/>
      <queryTableField id="8" name="QUÍMICOS_x000a_R$/m³" tableColumnId="8"/>
      <queryTableField id="9" name="RESÍDUOS_x000a_R$/m³" tableColumnId="9"/>
      <queryTableField id="10" name="MÃO DE_x000a_OBRA_x000a_R$/m³" tableColumnId="10"/>
      <queryTableField id="11" dataBound="0" tableColumnId="1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134416-45A8-4FDB-BBAA-205F1159ED4C}" name="Table014__Page_31" displayName="Table014__Page_31" ref="C5:M11" tableType="queryTable" totalsRowCount="1" headerRowDxfId="10">
  <autoFilter ref="C5:M10" xr:uid="{01134416-45A8-4FDB-BBAA-205F1159ED4C}"/>
  <tableColumns count="11">
    <tableColumn id="1" xr3:uid="{CE8FA96B-5D9B-42A4-91DB-A9D7D1080F90}" uniqueName="1" name="ETAR" queryTableFieldId="1" dataDxfId="9"/>
    <tableColumn id="2" xr3:uid="{08C69444-B7E9-4D44-BF62-9F21ECE1992C}" uniqueName="2" name="VAZÃO_x000a_MÉDIA_x000a_(L/s)" queryTableFieldId="2" dataDxfId="8" totalsRowDxfId="7"/>
    <tableColumn id="3" xr3:uid="{D96E4792-CBAE-433D-9403-D1FB67055EE8}" uniqueName="3" name="VAZÃO_x000a_MÁXIMA_x000a_(L/s)" queryTableFieldId="3" dataDxfId="6" totalsRowDxfId="5"/>
    <tableColumn id="4" xr3:uid="{08558633-753B-4120-89F4-52D81D0E3F73}" uniqueName="4" name="VOLUME DE_x000a_VENDAS_x000a_m³" queryTableFieldId="4" dataDxfId="4"/>
    <tableColumn id="5" xr3:uid="{D5AB5F71-20E9-41ED-B828-CC956ADB9255}" uniqueName="5" name="CAPEX_x000a_R$" totalsRowFunction="custom" queryTableFieldId="5" dataDxfId="3">
      <totalsRowFormula>G8/L18</totalsRowFormula>
    </tableColumn>
    <tableColumn id="6" xr3:uid="{456C5CC3-FC63-439D-9F79-8ADE7E8D4C1C}" uniqueName="6" name="REINVESTIMENTO_x000a_R$" queryTableFieldId="6" dataDxfId="2"/>
    <tableColumn id="7" xr3:uid="{54B32C40-3E27-48CA-B4DC-ADFA86501E98}" uniqueName="7" name="ENERGIA_x000a_R$/m³" queryTableFieldId="7"/>
    <tableColumn id="8" xr3:uid="{38D78F58-E39E-4A69-B417-7589CA5F45D0}" uniqueName="8" name="QUÍMICOS_x000a_R$/m³" queryTableFieldId="8"/>
    <tableColumn id="9" xr3:uid="{AC728F72-8E83-42B8-B8B0-783D87DB1AF8}" uniqueName="9" name="RESÍDUOS_x000a_R$/m³" queryTableFieldId="9"/>
    <tableColumn id="10" xr3:uid="{4D1FC5A2-59C0-4D1E-9917-F3FDB350ABA6}" uniqueName="10" name="MÃO DE_x000a_OBRA_x000a_R$/m³" queryTableFieldId="10"/>
    <tableColumn id="11" xr3:uid="{5A9B51C8-11FE-4998-8265-4608776D9394}" uniqueName="11" name="Capex kR$ / (L/s)" queryTableFieldId="11" dataDxfId="1" totalsRowDxfId="0">
      <calculatedColumnFormula>Table014__Page_31[[#This Row],[CAPEX
R$]]/1000/Table014__Page_31[[#This Row],[VAZÃO
MÉDIA
(L/s)]]</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47" dT="2025-09-23T20:43:05.80" personId="{FE154ECD-0169-49C3-99B3-5F857AB25C23}" id="{B961F1CE-AE94-4A13-B707-A10126089CB3}">
    <text>BDI = Benefícios e Despesas Indiretas: Despesas indiretas da obra (administração central, canteiro, seguros, garantias, impostos sobre faturamento etc.);
Custos financeiros;
Lucro do construtor</text>
  </threadedComment>
  <threadedComment ref="L47" dT="2025-09-23T20:43:05.80" personId="{FE154ECD-0169-49C3-99B3-5F857AB25C23}" id="{7CFDAB30-4895-4EF8-A8D8-E61322AA978E}">
    <text>Benefícios e Despesas Indiretas: Despesas indiretas da obra (administração central, canteiro, seguros, garantias, impostos sobre faturamento etc.);
Custos financeiros;
Lucro do construtor</text>
  </threadedComment>
  <threadedComment ref="H100" dT="2025-10-22T13:41:36.75" personId="{FE154ECD-0169-49C3-99B3-5F857AB25C23}" id="{3E155D46-F5E0-48CF-85DA-F3490E18F544}">
    <text>Auditoria contábil: Considerando auditorias mensais, o custo adicional seria de R$ 3.000,00 a R$ 6.000,00.
Consultoria: Considerando 40 horas de consultoria por mês, o custo pode variar entre R$ 2.800,00 e R$ 8.000,00.</text>
  </threadedComment>
  <threadedComment ref="K102" dT="2025-10-22T13:24:44.84" personId="{FE154ECD-0169-49C3-99B3-5F857AB25C23}" id="{2956C9FE-3B9F-455D-860F-3B38BA5BED81}">
    <text xml:space="preserve">A contribuição sindical corresponde a 1 dia de trabalho por ano (1/30 do salário mensal) para cada funcionário que autorizar o desconto. </text>
  </threadedComment>
  <threadedComment ref="K110" dT="2025-10-22T13:24:44.84" personId="{FE154ECD-0169-49C3-99B3-5F857AB25C23}" id="{9354CD4E-875E-48BB-9F9C-86737473C42C}">
    <text xml:space="preserve">A contribuição sindical corresponde a 1 dia de trabalho por ano (1/30 do salário mensal) para cada funcionário que autorizar o desconto. </text>
  </threadedComment>
  <threadedComment ref="K114" dT="2025-10-22T13:24:44.84" personId="{FE154ECD-0169-49C3-99B3-5F857AB25C23}" id="{1E131E81-016C-40E2-B14D-119FBD30EF54}">
    <text xml:space="preserve">A contribuição sindical corresponde a 1 dia de trabalho por ano (1/30 do salário mensal) para cada funcionário que autorizar o desconto. </text>
  </threadedComment>
  <threadedComment ref="K118" dT="2025-10-22T13:24:44.84" personId="{FE154ECD-0169-49C3-99B3-5F857AB25C23}" id="{F7E74664-6AE4-4112-92E3-AF0C1E8DB3B1}">
    <text xml:space="preserve">A contribuição sindical corresponde a 1 dia de trabalho por ano (1/30 do salário mensal) para cada funcionário que autorizar o desconto.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repositorio.ufsc.br/bitstream/handle/123456789/215008/PGEA0623-D.pdf?isAllowed=y&amp;sequence=-1&amp;utm_source=chatgpt.com"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79153-EC30-4708-8463-41BE41D8061F}">
  <sheetPr>
    <tabColor rgb="FF002B49"/>
  </sheetPr>
  <dimension ref="A1:T20"/>
  <sheetViews>
    <sheetView showGridLines="0" zoomScaleNormal="100" workbookViewId="0">
      <selection activeCell="F4" sqref="F4"/>
    </sheetView>
  </sheetViews>
  <sheetFormatPr defaultColWidth="0" defaultRowHeight="0" customHeight="1" zeroHeight="1"/>
  <cols>
    <col min="1" max="1" width="2.85546875" style="269" customWidth="1"/>
    <col min="2" max="2" width="2.5703125" style="270" customWidth="1"/>
    <col min="3" max="16" width="14.42578125" style="270" customWidth="1"/>
    <col min="17" max="17" width="2.5703125" style="270" customWidth="1"/>
    <col min="18" max="18" width="2.85546875" style="270" customWidth="1"/>
    <col min="19" max="20" width="0" style="270" hidden="1" customWidth="1"/>
    <col min="21" max="16384" width="9.140625" style="270" hidden="1"/>
  </cols>
  <sheetData>
    <row r="1" spans="1:18" s="269" customFormat="1" ht="30.95" customHeight="1">
      <c r="A1" s="268"/>
      <c r="B1" s="268"/>
      <c r="C1" s="268"/>
      <c r="D1" s="268"/>
      <c r="E1" s="268"/>
      <c r="F1" s="268"/>
      <c r="G1" s="268"/>
      <c r="H1" s="268"/>
      <c r="I1" s="268"/>
      <c r="J1" s="268"/>
      <c r="K1" s="268"/>
      <c r="L1" s="268"/>
      <c r="M1" s="268"/>
      <c r="N1" s="268"/>
      <c r="O1" s="268"/>
      <c r="P1" s="268"/>
      <c r="Q1" s="268"/>
      <c r="R1" s="268"/>
    </row>
    <row r="2" spans="1:18" ht="12.75">
      <c r="A2" s="270"/>
      <c r="B2" s="269"/>
      <c r="C2" s="269"/>
      <c r="D2" s="269"/>
      <c r="E2" s="269"/>
      <c r="F2" s="269"/>
      <c r="G2" s="269"/>
      <c r="H2" s="269"/>
      <c r="I2" s="269"/>
      <c r="J2" s="269"/>
      <c r="K2" s="269"/>
      <c r="L2" s="269"/>
      <c r="M2" s="269"/>
      <c r="N2" s="269"/>
      <c r="O2" s="269"/>
      <c r="P2" s="269"/>
      <c r="Q2" s="269"/>
    </row>
    <row r="3" spans="1:18" ht="12.75">
      <c r="A3" s="270"/>
      <c r="B3" s="269"/>
      <c r="C3" s="269"/>
      <c r="D3" s="269"/>
      <c r="E3" s="269"/>
      <c r="F3" s="269" t="s">
        <v>686</v>
      </c>
      <c r="G3" s="269"/>
      <c r="H3" s="269"/>
      <c r="I3" s="269"/>
      <c r="J3" s="269"/>
      <c r="K3" s="269"/>
      <c r="L3" s="269"/>
      <c r="M3" s="269"/>
      <c r="N3" s="269"/>
      <c r="O3" s="269"/>
      <c r="P3" s="269"/>
      <c r="Q3" s="269"/>
    </row>
    <row r="4" spans="1:18" ht="18">
      <c r="A4" s="270"/>
      <c r="B4" s="269"/>
      <c r="C4" s="269"/>
      <c r="D4" s="269"/>
      <c r="E4" s="269"/>
      <c r="F4" s="271" t="s">
        <v>579</v>
      </c>
      <c r="G4" s="269"/>
      <c r="H4" s="272"/>
      <c r="I4" s="269"/>
      <c r="J4" s="269"/>
      <c r="K4" s="269"/>
      <c r="L4" s="269"/>
      <c r="M4" s="269"/>
      <c r="N4"/>
      <c r="O4" s="273"/>
      <c r="P4" s="273"/>
      <c r="Q4" s="269"/>
    </row>
    <row r="5" spans="1:18" ht="12.75">
      <c r="A5" s="270"/>
      <c r="B5" s="269"/>
      <c r="C5" s="269"/>
      <c r="D5" s="269"/>
      <c r="E5" s="269"/>
      <c r="F5" s="269"/>
      <c r="G5" s="269"/>
      <c r="H5" s="269"/>
      <c r="I5" s="269"/>
      <c r="J5" s="269"/>
      <c r="K5" s="269"/>
      <c r="L5" s="269"/>
      <c r="M5" s="269"/>
      <c r="N5" s="273"/>
      <c r="O5" s="273"/>
      <c r="P5" s="273"/>
      <c r="Q5" s="269"/>
    </row>
    <row r="6" spans="1:18" ht="12.75">
      <c r="A6" s="270"/>
      <c r="B6" s="269"/>
      <c r="C6" s="274"/>
      <c r="D6" s="274"/>
      <c r="E6" s="274"/>
      <c r="F6" s="274"/>
      <c r="G6" s="274"/>
      <c r="H6" s="274"/>
      <c r="I6" s="274"/>
      <c r="J6" s="274"/>
      <c r="K6" s="274"/>
      <c r="L6" s="274"/>
      <c r="M6" s="274"/>
      <c r="N6" s="274"/>
      <c r="O6" s="274"/>
      <c r="P6" s="274"/>
      <c r="Q6" s="269"/>
    </row>
    <row r="7" spans="1:18" ht="12.75">
      <c r="A7" s="270"/>
      <c r="B7" s="269"/>
      <c r="C7" s="269" t="s">
        <v>536</v>
      </c>
      <c r="D7" s="269"/>
      <c r="E7" s="269"/>
      <c r="F7" s="269"/>
      <c r="G7" s="269"/>
      <c r="H7" s="269"/>
      <c r="I7" s="269"/>
      <c r="J7" s="269"/>
      <c r="K7" s="269"/>
      <c r="L7" s="269"/>
      <c r="M7" s="269"/>
      <c r="N7" s="269"/>
      <c r="O7" s="269"/>
      <c r="P7" s="269"/>
      <c r="Q7" s="269"/>
    </row>
    <row r="8" spans="1:18" ht="56.45" customHeight="1">
      <c r="A8" s="270"/>
      <c r="B8" s="269"/>
      <c r="C8" s="536" t="s">
        <v>681</v>
      </c>
      <c r="D8" s="537"/>
      <c r="E8" s="537"/>
      <c r="F8" s="537"/>
      <c r="G8" s="537"/>
      <c r="H8" s="537"/>
      <c r="I8" s="537"/>
      <c r="J8" s="537"/>
      <c r="K8" s="537"/>
      <c r="L8" s="537"/>
      <c r="M8" s="537"/>
      <c r="N8" s="537"/>
      <c r="O8" s="537"/>
      <c r="P8" s="538"/>
      <c r="Q8" s="269"/>
    </row>
    <row r="9" spans="1:18" ht="56.45" customHeight="1">
      <c r="A9" s="270"/>
      <c r="B9" s="269"/>
      <c r="C9" s="539"/>
      <c r="D9" s="540"/>
      <c r="E9" s="540"/>
      <c r="F9" s="540"/>
      <c r="G9" s="540"/>
      <c r="H9" s="540"/>
      <c r="I9" s="540"/>
      <c r="J9" s="540"/>
      <c r="K9" s="540"/>
      <c r="L9" s="540"/>
      <c r="M9" s="540"/>
      <c r="N9" s="540"/>
      <c r="O9" s="540"/>
      <c r="P9" s="541"/>
      <c r="Q9" s="269"/>
    </row>
    <row r="10" spans="1:18" ht="56.45" customHeight="1">
      <c r="A10" s="270"/>
      <c r="B10" s="269"/>
      <c r="C10" s="539"/>
      <c r="D10" s="540"/>
      <c r="E10" s="540"/>
      <c r="F10" s="540"/>
      <c r="G10" s="540"/>
      <c r="H10" s="540"/>
      <c r="I10" s="540"/>
      <c r="J10" s="540"/>
      <c r="K10" s="540"/>
      <c r="L10" s="540"/>
      <c r="M10" s="540"/>
      <c r="N10" s="540"/>
      <c r="O10" s="540"/>
      <c r="P10" s="541"/>
      <c r="Q10" s="269"/>
    </row>
    <row r="11" spans="1:18" ht="56.45" customHeight="1">
      <c r="A11" s="270"/>
      <c r="B11" s="269"/>
      <c r="C11" s="539"/>
      <c r="D11" s="540"/>
      <c r="E11" s="540"/>
      <c r="F11" s="540"/>
      <c r="G11" s="540"/>
      <c r="H11" s="540"/>
      <c r="I11" s="540"/>
      <c r="J11" s="540"/>
      <c r="K11" s="540"/>
      <c r="L11" s="540"/>
      <c r="M11" s="540"/>
      <c r="N11" s="540"/>
      <c r="O11" s="540"/>
      <c r="P11" s="541"/>
      <c r="Q11" s="269"/>
    </row>
    <row r="12" spans="1:18" ht="56.45" customHeight="1">
      <c r="A12" s="270"/>
      <c r="B12" s="269"/>
      <c r="C12" s="539"/>
      <c r="D12" s="540"/>
      <c r="E12" s="540"/>
      <c r="F12" s="540"/>
      <c r="G12" s="540"/>
      <c r="H12" s="540"/>
      <c r="I12" s="540"/>
      <c r="J12" s="540"/>
      <c r="K12" s="540"/>
      <c r="L12" s="540"/>
      <c r="M12" s="540"/>
      <c r="N12" s="540"/>
      <c r="O12" s="540"/>
      <c r="P12" s="541"/>
      <c r="Q12" s="269"/>
    </row>
    <row r="13" spans="1:18" ht="56.45" customHeight="1">
      <c r="A13" s="270"/>
      <c r="B13" s="269"/>
      <c r="C13" s="539"/>
      <c r="D13" s="540"/>
      <c r="E13" s="540"/>
      <c r="F13" s="540"/>
      <c r="G13" s="540"/>
      <c r="H13" s="540"/>
      <c r="I13" s="540"/>
      <c r="J13" s="540"/>
      <c r="K13" s="540"/>
      <c r="L13" s="540"/>
      <c r="M13" s="540"/>
      <c r="N13" s="540"/>
      <c r="O13" s="540"/>
      <c r="P13" s="541"/>
      <c r="Q13" s="269"/>
    </row>
    <row r="14" spans="1:18" ht="56.45" customHeight="1">
      <c r="A14" s="270"/>
      <c r="B14" s="269"/>
      <c r="C14" s="539"/>
      <c r="D14" s="540"/>
      <c r="E14" s="540"/>
      <c r="F14" s="540"/>
      <c r="G14" s="540"/>
      <c r="H14" s="540"/>
      <c r="I14" s="540"/>
      <c r="J14" s="540"/>
      <c r="K14" s="540"/>
      <c r="L14" s="540"/>
      <c r="M14" s="540"/>
      <c r="N14" s="540"/>
      <c r="O14" s="540"/>
      <c r="P14" s="541"/>
      <c r="Q14" s="269"/>
    </row>
    <row r="15" spans="1:18" ht="56.45" customHeight="1">
      <c r="A15" s="270"/>
      <c r="B15" s="269"/>
      <c r="C15" s="539"/>
      <c r="D15" s="540"/>
      <c r="E15" s="540"/>
      <c r="F15" s="540"/>
      <c r="G15" s="540"/>
      <c r="H15" s="540"/>
      <c r="I15" s="540"/>
      <c r="J15" s="540"/>
      <c r="K15" s="540"/>
      <c r="L15" s="540"/>
      <c r="M15" s="540"/>
      <c r="N15" s="540"/>
      <c r="O15" s="540"/>
      <c r="P15" s="541"/>
      <c r="Q15" s="269"/>
    </row>
    <row r="16" spans="1:18" ht="56.45" customHeight="1">
      <c r="A16" s="270"/>
      <c r="B16" s="269"/>
      <c r="C16" s="539"/>
      <c r="D16" s="540"/>
      <c r="E16" s="540"/>
      <c r="F16" s="540"/>
      <c r="G16" s="540"/>
      <c r="H16" s="540"/>
      <c r="I16" s="540"/>
      <c r="J16" s="540"/>
      <c r="K16" s="540"/>
      <c r="L16" s="540"/>
      <c r="M16" s="540"/>
      <c r="N16" s="540"/>
      <c r="O16" s="540"/>
      <c r="P16" s="541"/>
      <c r="Q16" s="269"/>
    </row>
    <row r="17" spans="1:17" ht="177.95" customHeight="1">
      <c r="A17" s="270"/>
      <c r="B17" s="269"/>
      <c r="C17" s="542"/>
      <c r="D17" s="543"/>
      <c r="E17" s="543"/>
      <c r="F17" s="543"/>
      <c r="G17" s="543"/>
      <c r="H17" s="543"/>
      <c r="I17" s="543"/>
      <c r="J17" s="543"/>
      <c r="K17" s="543"/>
      <c r="L17" s="543"/>
      <c r="M17" s="543"/>
      <c r="N17" s="543"/>
      <c r="O17" s="543"/>
      <c r="P17" s="544"/>
      <c r="Q17" s="269"/>
    </row>
    <row r="18" spans="1:17" ht="15" customHeight="1">
      <c r="A18" s="270"/>
      <c r="B18" s="269"/>
      <c r="C18" s="269"/>
      <c r="D18" s="269"/>
      <c r="E18" s="269"/>
      <c r="F18" s="269"/>
      <c r="G18" s="269"/>
      <c r="H18" s="269"/>
      <c r="I18" s="269"/>
      <c r="J18" s="269"/>
      <c r="K18" s="269"/>
      <c r="L18" s="269"/>
      <c r="M18" s="269"/>
      <c r="N18" s="269"/>
      <c r="O18" s="269"/>
      <c r="P18" s="269"/>
      <c r="Q18" s="269"/>
    </row>
    <row r="19" spans="1:17" ht="15" customHeight="1">
      <c r="A19" s="270"/>
    </row>
    <row r="20" spans="1:17" ht="15" customHeight="1">
      <c r="A20" s="270"/>
    </row>
  </sheetData>
  <sheetProtection algorithmName="SHA-512" hashValue="jNTgPOppJVFmNc+rotdyg2BSdZL6577kmzmEl3NexIn8QWUrJNsLqPk4ELkJqnKDtspLUBPmNQOfer/KHVh2Nw==" saltValue="n2qbL/FD+DqhymVxEVNhGQ==" spinCount="100000" sheet="1" objects="1" scenarios="1"/>
  <mergeCells count="1">
    <mergeCell ref="C8:P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17F8E-5554-4A31-B869-081C0AF189AE}">
  <dimension ref="C2:E45"/>
  <sheetViews>
    <sheetView topLeftCell="A7" workbookViewId="0">
      <selection activeCell="E36" sqref="E36"/>
    </sheetView>
  </sheetViews>
  <sheetFormatPr defaultRowHeight="15"/>
  <cols>
    <col min="3" max="3" width="123.140625" bestFit="1" customWidth="1"/>
    <col min="4" max="4" width="10.42578125" bestFit="1" customWidth="1"/>
    <col min="5" max="5" width="13.85546875" bestFit="1" customWidth="1"/>
  </cols>
  <sheetData>
    <row r="2" spans="3:3">
      <c r="C2" t="s">
        <v>582</v>
      </c>
    </row>
    <row r="3" spans="3:3">
      <c r="C3" t="s">
        <v>583</v>
      </c>
    </row>
    <row r="4" spans="3:3">
      <c r="C4" t="s">
        <v>584</v>
      </c>
    </row>
    <row r="5" spans="3:3">
      <c r="C5" t="s">
        <v>585</v>
      </c>
    </row>
    <row r="6" spans="3:3">
      <c r="C6" t="s">
        <v>586</v>
      </c>
    </row>
    <row r="9" spans="3:3">
      <c r="C9" t="s">
        <v>582</v>
      </c>
    </row>
    <row r="10" spans="3:3">
      <c r="C10" t="s">
        <v>583</v>
      </c>
    </row>
    <row r="11" spans="3:3">
      <c r="C11" t="s">
        <v>584</v>
      </c>
    </row>
    <row r="12" spans="3:3">
      <c r="C12" t="s">
        <v>585</v>
      </c>
    </row>
    <row r="13" spans="3:3">
      <c r="C13" t="s">
        <v>586</v>
      </c>
    </row>
    <row r="16" spans="3:3">
      <c r="C16" t="s">
        <v>587</v>
      </c>
    </row>
    <row r="17" spans="3:5">
      <c r="C17" t="s">
        <v>588</v>
      </c>
    </row>
    <row r="18" spans="3:5">
      <c r="C18" t="s">
        <v>589</v>
      </c>
    </row>
    <row r="19" spans="3:5">
      <c r="C19" t="s">
        <v>590</v>
      </c>
    </row>
    <row r="20" spans="3:5">
      <c r="C20" t="s">
        <v>591</v>
      </c>
    </row>
    <row r="23" spans="3:5">
      <c r="C23" t="s">
        <v>592</v>
      </c>
      <c r="D23" s="291">
        <v>0</v>
      </c>
      <c r="E23" s="291">
        <v>9.9999000000000005E-2</v>
      </c>
    </row>
    <row r="24" spans="3:5">
      <c r="C24" t="s">
        <v>593</v>
      </c>
      <c r="D24" s="291">
        <v>0.1</v>
      </c>
      <c r="E24" s="291">
        <v>0.19999900000000001</v>
      </c>
    </row>
    <row r="25" spans="3:5">
      <c r="C25" t="s">
        <v>594</v>
      </c>
      <c r="D25" s="291">
        <v>0.2</v>
      </c>
      <c r="E25" s="291">
        <v>0.39999899999999999</v>
      </c>
    </row>
    <row r="26" spans="3:5">
      <c r="C26" t="s">
        <v>595</v>
      </c>
      <c r="D26" s="291">
        <v>0.4</v>
      </c>
      <c r="E26" s="291">
        <v>0.49999900000000003</v>
      </c>
    </row>
    <row r="27" spans="3:5">
      <c r="C27" t="s">
        <v>596</v>
      </c>
      <c r="D27" s="291">
        <v>0.5</v>
      </c>
      <c r="E27" s="291">
        <v>10000</v>
      </c>
    </row>
    <row r="28" spans="3:5">
      <c r="C28" s="293" t="s">
        <v>541</v>
      </c>
      <c r="D28" s="296">
        <f>'Premissas Técnicas'!D8</f>
        <v>0.4</v>
      </c>
      <c r="E28" s="294" t="str" cm="1">
        <f t="array" ref="E28">INDEX(C23:C27,MATCH(1,(D28&gt;=D23:D27)*(D28&lt;=E23:E27),0))</f>
        <v xml:space="preserve">Nota 4: R$ 0,40 a R$ 0,50/m³ </v>
      </c>
    </row>
    <row r="29" spans="3:5">
      <c r="D29" s="291"/>
      <c r="E29" s="291"/>
    </row>
    <row r="30" spans="3:5">
      <c r="C30" t="s">
        <v>668</v>
      </c>
      <c r="D30" s="292">
        <v>0</v>
      </c>
      <c r="E30" s="292">
        <v>8.4999989999999997E-2</v>
      </c>
    </row>
    <row r="31" spans="3:5">
      <c r="C31" t="s">
        <v>597</v>
      </c>
      <c r="D31" s="292">
        <v>8.5000000000000006E-2</v>
      </c>
      <c r="E31" s="292">
        <v>9.9999000000000005E-2</v>
      </c>
    </row>
    <row r="32" spans="3:5">
      <c r="C32" t="s">
        <v>598</v>
      </c>
      <c r="D32" s="292">
        <v>0.1</v>
      </c>
      <c r="E32" s="292">
        <v>0.11999899999999999</v>
      </c>
    </row>
    <row r="33" spans="3:5">
      <c r="C33" t="s">
        <v>599</v>
      </c>
      <c r="D33" s="292">
        <v>0.12</v>
      </c>
      <c r="E33" s="292">
        <v>0.13999900000000001</v>
      </c>
    </row>
    <row r="34" spans="3:5">
      <c r="C34" t="s">
        <v>600</v>
      </c>
      <c r="D34" s="292">
        <v>0.14000000000000001</v>
      </c>
      <c r="E34" s="292">
        <v>0.159999</v>
      </c>
    </row>
    <row r="35" spans="3:5">
      <c r="C35" t="s">
        <v>601</v>
      </c>
      <c r="D35" s="292">
        <v>0.16</v>
      </c>
      <c r="E35" s="292">
        <v>10000</v>
      </c>
    </row>
    <row r="36" spans="3:5">
      <c r="C36" s="293" t="s">
        <v>541</v>
      </c>
      <c r="D36" s="295">
        <f>'Modelo Financeiro (MEF)'!D42</f>
        <v>0.14668182050330203</v>
      </c>
      <c r="E36" s="294" t="str" cm="1">
        <f t="array" ref="E36">INDEX(C30:C35,MATCH(1,(D36&gt;=D30:D35)*(D36&lt;=E30:E35),0))</f>
        <v>Nota 4: 14,1% a 16,0%</v>
      </c>
    </row>
    <row r="38" spans="3:5">
      <c r="C38" t="s">
        <v>623</v>
      </c>
    </row>
    <row r="39" spans="3:5">
      <c r="C39" t="s">
        <v>624</v>
      </c>
    </row>
    <row r="40" spans="3:5">
      <c r="C40" t="s">
        <v>625</v>
      </c>
    </row>
    <row r="43" spans="3:5">
      <c r="C43" t="s">
        <v>623</v>
      </c>
    </row>
    <row r="44" spans="3:5">
      <c r="C44" t="s">
        <v>624</v>
      </c>
    </row>
    <row r="45" spans="3:5">
      <c r="C45" t="s">
        <v>625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070B8-27D7-48FF-AEFF-E279A951063D}">
  <sheetPr>
    <tabColor theme="2" tint="-9.9978637043366805E-2"/>
  </sheetPr>
  <dimension ref="B2:O39"/>
  <sheetViews>
    <sheetView showGridLines="0" zoomScaleNormal="100" workbookViewId="0">
      <selection activeCell="D30" sqref="D30"/>
    </sheetView>
  </sheetViews>
  <sheetFormatPr defaultRowHeight="15"/>
  <cols>
    <col min="2" max="2" width="18.140625" customWidth="1"/>
    <col min="3" max="3" width="17.42578125" customWidth="1"/>
    <col min="4" max="4" width="18.28515625" customWidth="1"/>
    <col min="5" max="5" width="16.140625" customWidth="1"/>
    <col min="6" max="7" width="14.42578125" customWidth="1"/>
    <col min="8" max="8" width="17.140625" customWidth="1"/>
    <col min="9" max="9" width="16.140625" customWidth="1"/>
    <col min="10" max="10" width="11.5703125" customWidth="1"/>
    <col min="11" max="12" width="17.85546875" customWidth="1"/>
    <col min="13" max="13" width="18.140625" customWidth="1"/>
    <col min="15" max="15" width="12.42578125" customWidth="1"/>
  </cols>
  <sheetData>
    <row r="2" spans="2:15">
      <c r="C2" s="157" t="s">
        <v>467</v>
      </c>
    </row>
    <row r="3" spans="2:15">
      <c r="B3" s="157" t="s">
        <v>468</v>
      </c>
      <c r="C3" t="s">
        <v>469</v>
      </c>
    </row>
    <row r="5" spans="2:15" s="169" customFormat="1" ht="45">
      <c r="C5" s="169" t="s">
        <v>248</v>
      </c>
      <c r="D5" s="169" t="s">
        <v>470</v>
      </c>
      <c r="E5" s="169" t="s">
        <v>471</v>
      </c>
      <c r="F5" s="169" t="s">
        <v>472</v>
      </c>
      <c r="G5" s="169" t="s">
        <v>473</v>
      </c>
      <c r="H5" s="169" t="s">
        <v>474</v>
      </c>
      <c r="I5" s="169" t="s">
        <v>475</v>
      </c>
      <c r="J5" s="169" t="s">
        <v>476</v>
      </c>
      <c r="K5" s="169" t="s">
        <v>477</v>
      </c>
      <c r="L5" s="169" t="s">
        <v>478</v>
      </c>
      <c r="M5" s="169" t="s">
        <v>503</v>
      </c>
      <c r="O5" s="169" t="s">
        <v>546</v>
      </c>
    </row>
    <row r="6" spans="2:15">
      <c r="C6" t="s">
        <v>427</v>
      </c>
      <c r="D6" s="75">
        <v>17</v>
      </c>
      <c r="E6" s="75">
        <v>31</v>
      </c>
      <c r="F6" t="s">
        <v>479</v>
      </c>
      <c r="G6" t="s">
        <v>480</v>
      </c>
      <c r="H6" t="s">
        <v>481</v>
      </c>
      <c r="I6">
        <v>0.8</v>
      </c>
      <c r="J6">
        <v>1.37</v>
      </c>
      <c r="K6">
        <v>0.16</v>
      </c>
      <c r="L6">
        <v>3.89</v>
      </c>
      <c r="M6" s="17">
        <f>Table014__Page_31[[#This Row],[CAPEX
R$]]/1000/Table014__Page_31[[#This Row],[VAZÃO
MÉDIA
(L/s)]]</f>
        <v>5113.9435882352936</v>
      </c>
      <c r="O6" s="278">
        <f>Table014__Page_31[[#This Row],[REINVESTIMENTO
R$]]/Table014__Page_31[[#This Row],[CAPEX
R$]]/25</f>
        <v>7.3154695936798672E-3</v>
      </c>
    </row>
    <row r="7" spans="2:15">
      <c r="C7" t="s">
        <v>430</v>
      </c>
      <c r="D7" s="75">
        <v>34</v>
      </c>
      <c r="E7" s="75">
        <v>60</v>
      </c>
      <c r="F7" t="s">
        <v>482</v>
      </c>
      <c r="G7" t="s">
        <v>483</v>
      </c>
      <c r="H7" t="s">
        <v>484</v>
      </c>
      <c r="I7">
        <v>0.8</v>
      </c>
      <c r="J7">
        <v>1.37</v>
      </c>
      <c r="K7">
        <v>0.16</v>
      </c>
      <c r="L7">
        <v>2.3199999999999998</v>
      </c>
      <c r="M7" s="17">
        <f>Table014__Page_31[[#This Row],[CAPEX
R$]]/1000/Table014__Page_31[[#This Row],[VAZÃO
MÉDIA
(L/s)]]</f>
        <v>3939.0679705882349</v>
      </c>
      <c r="O7" s="278">
        <f>Table014__Page_31[[#This Row],[REINVESTIMENTO
R$]]/Table014__Page_31[[#This Row],[CAPEX
R$]]/25</f>
        <v>7.7386212986737361E-3</v>
      </c>
    </row>
    <row r="8" spans="2:15">
      <c r="C8" s="260" t="s">
        <v>426</v>
      </c>
      <c r="D8" s="75">
        <v>52</v>
      </c>
      <c r="E8" s="75">
        <v>93</v>
      </c>
      <c r="F8" t="s">
        <v>485</v>
      </c>
      <c r="G8" t="s">
        <v>486</v>
      </c>
      <c r="H8" t="s">
        <v>487</v>
      </c>
      <c r="I8">
        <v>0.8</v>
      </c>
      <c r="J8">
        <v>1.37</v>
      </c>
      <c r="K8">
        <v>0.16</v>
      </c>
      <c r="L8">
        <v>1.96</v>
      </c>
      <c r="M8" s="17">
        <f>Table014__Page_31[[#This Row],[CAPEX
R$]]/1000/Table014__Page_31[[#This Row],[VAZÃO
MÉDIA
(L/s)]]</f>
        <v>2989.3244615384615</v>
      </c>
      <c r="O8" s="278">
        <f>Table014__Page_31[[#This Row],[REINVESTIMENTO
R$]]/Table014__Page_31[[#This Row],[CAPEX
R$]]/25</f>
        <v>9.2686081017841499E-3</v>
      </c>
    </row>
    <row r="9" spans="2:15">
      <c r="C9" t="s">
        <v>428</v>
      </c>
      <c r="D9" s="75">
        <v>84</v>
      </c>
      <c r="E9" s="75">
        <v>151</v>
      </c>
      <c r="F9" t="s">
        <v>488</v>
      </c>
      <c r="G9" t="s">
        <v>489</v>
      </c>
      <c r="H9" t="s">
        <v>490</v>
      </c>
      <c r="I9">
        <v>0.8</v>
      </c>
      <c r="J9">
        <v>1.37</v>
      </c>
      <c r="K9">
        <v>0.16</v>
      </c>
      <c r="L9">
        <v>1.37</v>
      </c>
      <c r="M9" s="17">
        <f>Table014__Page_31[[#This Row],[CAPEX
R$]]/1000/Table014__Page_31[[#This Row],[VAZÃO
MÉDIA
(L/s)]]</f>
        <v>2370.3852976190474</v>
      </c>
      <c r="O9" s="278">
        <f>Table014__Page_31[[#This Row],[REINVESTIMENTO
R$]]/Table014__Page_31[[#This Row],[CAPEX
R$]]/25</f>
        <v>9.9549114390761213E-3</v>
      </c>
    </row>
    <row r="10" spans="2:15">
      <c r="C10" t="s">
        <v>429</v>
      </c>
      <c r="D10" s="75">
        <v>108</v>
      </c>
      <c r="E10" s="75">
        <v>194</v>
      </c>
      <c r="F10" t="s">
        <v>491</v>
      </c>
      <c r="G10" t="s">
        <v>492</v>
      </c>
      <c r="H10" t="s">
        <v>493</v>
      </c>
      <c r="I10">
        <v>0.8</v>
      </c>
      <c r="J10">
        <v>1.37</v>
      </c>
      <c r="K10">
        <v>0.16</v>
      </c>
      <c r="L10">
        <v>1.1599999999999999</v>
      </c>
      <c r="M10" s="17">
        <f>Table014__Page_31[[#This Row],[CAPEX
R$]]/1000/Table014__Page_31[[#This Row],[VAZÃO
MÉDIA
(L/s)]]</f>
        <v>2106.6737037037037</v>
      </c>
      <c r="O10" s="278">
        <f>Table014__Page_31[[#This Row],[REINVESTIMENTO
R$]]/Table014__Page_31[[#This Row],[CAPEX
R$]]/25</f>
        <v>1.0191026436444746E-2</v>
      </c>
    </row>
    <row r="11" spans="2:15">
      <c r="D11" s="75"/>
      <c r="E11" s="75"/>
      <c r="G11">
        <f>G8/L18</f>
        <v>4.5989607100591714</v>
      </c>
      <c r="M11" s="264"/>
    </row>
    <row r="13" spans="2:15">
      <c r="C13" s="157" t="s">
        <v>522</v>
      </c>
    </row>
    <row r="14" spans="2:15">
      <c r="B14" s="157" t="s">
        <v>468</v>
      </c>
      <c r="C14" t="s">
        <v>494</v>
      </c>
    </row>
    <row r="15" spans="2:15">
      <c r="F15" s="565" t="s">
        <v>47</v>
      </c>
      <c r="G15" s="565"/>
      <c r="H15" s="565"/>
      <c r="I15" s="565"/>
      <c r="J15" s="565"/>
      <c r="K15" s="565"/>
    </row>
    <row r="16" spans="2:15" ht="60">
      <c r="C16" s="238" t="s">
        <v>248</v>
      </c>
      <c r="D16" s="238" t="s">
        <v>470</v>
      </c>
      <c r="E16" s="238" t="s">
        <v>471</v>
      </c>
      <c r="F16" s="238" t="s">
        <v>497</v>
      </c>
      <c r="G16" s="238" t="s">
        <v>498</v>
      </c>
      <c r="H16" s="238" t="s">
        <v>499</v>
      </c>
      <c r="I16" s="238" t="s">
        <v>500</v>
      </c>
      <c r="J16" s="238" t="s">
        <v>501</v>
      </c>
      <c r="K16" s="238" t="s">
        <v>502</v>
      </c>
      <c r="L16" s="243" t="s">
        <v>142</v>
      </c>
      <c r="M16" s="243" t="s">
        <v>503</v>
      </c>
    </row>
    <row r="17" spans="2:14">
      <c r="C17" s="244" t="s">
        <v>496</v>
      </c>
      <c r="D17" s="245">
        <v>10</v>
      </c>
      <c r="E17" s="245">
        <v>15</v>
      </c>
      <c r="F17" s="246">
        <v>3000000</v>
      </c>
      <c r="G17" s="247">
        <v>1800000</v>
      </c>
      <c r="H17" s="247">
        <v>1700000</v>
      </c>
      <c r="I17" s="246">
        <v>3000000</v>
      </c>
      <c r="J17" s="247">
        <v>700000</v>
      </c>
      <c r="K17" s="247">
        <v>4300000</v>
      </c>
      <c r="L17" s="246">
        <f>SUM(F17:K17)</f>
        <v>14500000</v>
      </c>
      <c r="M17" s="246">
        <f>L17/1000/D17</f>
        <v>1450</v>
      </c>
      <c r="N17" s="87">
        <f>1.5*M17</f>
        <v>2175</v>
      </c>
    </row>
    <row r="18" spans="2:14" ht="14.1" customHeight="1">
      <c r="C18" s="261" t="s">
        <v>495</v>
      </c>
      <c r="D18" s="239">
        <v>76</v>
      </c>
      <c r="E18" s="239">
        <v>115</v>
      </c>
      <c r="F18" s="240">
        <v>10600000</v>
      </c>
      <c r="G18" s="241">
        <v>2800000</v>
      </c>
      <c r="H18" s="241">
        <v>2700000</v>
      </c>
      <c r="I18" s="240">
        <v>4300000</v>
      </c>
      <c r="J18" s="241">
        <v>8000000</v>
      </c>
      <c r="K18" s="241">
        <v>5400000</v>
      </c>
      <c r="L18" s="240">
        <f>SUM(F18:K18)</f>
        <v>33800000</v>
      </c>
      <c r="M18" s="240">
        <f>L18/1000/D18</f>
        <v>444.73684210526318</v>
      </c>
      <c r="N18" s="87">
        <f>1.5*M18</f>
        <v>667.1052631578948</v>
      </c>
    </row>
    <row r="20" spans="2:14">
      <c r="C20" s="157" t="s">
        <v>529</v>
      </c>
    </row>
    <row r="21" spans="2:14">
      <c r="B21" s="157" t="s">
        <v>468</v>
      </c>
      <c r="C21" t="s">
        <v>530</v>
      </c>
    </row>
    <row r="23" spans="2:14" ht="75">
      <c r="C23" s="238" t="s">
        <v>248</v>
      </c>
      <c r="D23" s="238" t="s">
        <v>470</v>
      </c>
      <c r="E23" s="238" t="s">
        <v>471</v>
      </c>
      <c r="F23" s="238" t="s">
        <v>531</v>
      </c>
      <c r="G23" s="238" t="s">
        <v>7</v>
      </c>
      <c r="H23" s="238" t="s">
        <v>532</v>
      </c>
      <c r="I23" s="238" t="s">
        <v>502</v>
      </c>
      <c r="J23" s="243" t="s">
        <v>142</v>
      </c>
      <c r="K23" s="243" t="s">
        <v>503</v>
      </c>
    </row>
    <row r="24" spans="2:14">
      <c r="C24" s="244" t="s">
        <v>496</v>
      </c>
      <c r="D24" s="245">
        <v>10</v>
      </c>
      <c r="E24" s="245">
        <v>15</v>
      </c>
      <c r="F24" s="246">
        <v>2960481</v>
      </c>
      <c r="G24" s="246">
        <v>710515</v>
      </c>
      <c r="H24" s="246">
        <v>1275375</v>
      </c>
      <c r="I24" s="246">
        <v>444072</v>
      </c>
      <c r="J24" s="240">
        <f>SUM(F24:I24)</f>
        <v>5390443</v>
      </c>
      <c r="K24" s="246">
        <f>J24/1000/D24</f>
        <v>539.04430000000002</v>
      </c>
    </row>
    <row r="25" spans="2:14">
      <c r="C25" s="261" t="s">
        <v>495</v>
      </c>
      <c r="D25" s="239">
        <v>76</v>
      </c>
      <c r="E25" s="239">
        <v>115</v>
      </c>
      <c r="F25" s="240">
        <v>20918175</v>
      </c>
      <c r="G25" s="240">
        <v>5020362</v>
      </c>
      <c r="H25" s="240">
        <v>9011550</v>
      </c>
      <c r="I25" s="240">
        <v>3137726</v>
      </c>
      <c r="J25" s="240">
        <f>SUM(F25:I25)</f>
        <v>38087813</v>
      </c>
      <c r="K25" s="240">
        <f>J25/1000/D25</f>
        <v>501.15543421052632</v>
      </c>
    </row>
    <row r="28" spans="2:14">
      <c r="B28" t="s">
        <v>504</v>
      </c>
    </row>
    <row r="29" spans="2:14" s="81" customFormat="1" ht="23.45" customHeight="1">
      <c r="B29" s="248" t="s">
        <v>507</v>
      </c>
      <c r="C29" s="250" t="s">
        <v>329</v>
      </c>
      <c r="D29" s="249">
        <f>'Premissas Técnicas'!D22</f>
        <v>421.78750000000002</v>
      </c>
    </row>
    <row r="32" spans="2:14" ht="30">
      <c r="C32" s="251" t="s">
        <v>505</v>
      </c>
      <c r="D32" s="251" t="s">
        <v>506</v>
      </c>
      <c r="E32" s="169" t="s">
        <v>508</v>
      </c>
    </row>
    <row r="33" spans="2:7">
      <c r="B33" t="str">
        <f>'Premissas e Cálculos'!B125</f>
        <v>ETE Atuba Sul</v>
      </c>
      <c r="C33" s="265" cm="1">
        <f t="array" ref="C33">_xlfn.XLOOKUP(B33,Dashboard!$D$27:$H$27,_xlfn.ANCHORARRAY(Dashboard!$D$28))</f>
        <v>76.676560121765604</v>
      </c>
      <c r="D33" s="266">
        <f>'Premissas e Cálculos'!D125*1000</f>
        <v>59399272.65982075</v>
      </c>
      <c r="E33" s="262">
        <f>D33-'Premissas Técnicas'!D27*1000</f>
        <v>36637260.133820757</v>
      </c>
      <c r="F33" s="87">
        <f>D33-E33</f>
        <v>22762012.525999993</v>
      </c>
    </row>
    <row r="34" spans="2:7">
      <c r="B34" t="str">
        <f>'Premissas e Cálculos'!B126</f>
        <v>ETE Cafezal</v>
      </c>
      <c r="C34" s="252" cm="1">
        <f t="array" ref="C34">_xlfn.XLOOKUP(B34,Dashboard!$D$27:$H$27,_xlfn.ANCHORARRAY(Dashboard!$D$28))</f>
        <v>0</v>
      </c>
      <c r="D34" s="242">
        <f>'Premissas e Cálculos'!D126*1000</f>
        <v>0</v>
      </c>
      <c r="E34" s="87">
        <f>D34-'Premissas Técnicas'!D28*1000</f>
        <v>-11857546.030000003</v>
      </c>
    </row>
    <row r="35" spans="2:7">
      <c r="B35" t="str">
        <f>'Premissas e Cálculos'!B127</f>
        <v>ETE CIC-Xisto</v>
      </c>
      <c r="C35" s="252" cm="1">
        <f t="array" ref="C35">_xlfn.XLOOKUP(B35,Dashboard!$D$27:$H$27,_xlfn.ANCHORARRAY(Dashboard!$D$28))</f>
        <v>125.60781329274479</v>
      </c>
      <c r="D35" s="242">
        <f>'Premissas e Cálculos'!D127*1000</f>
        <v>109415662.19798283</v>
      </c>
      <c r="E35" s="87">
        <f>D35-'Premissas Técnicas'!D29*1000</f>
        <v>60139881.434982829</v>
      </c>
    </row>
    <row r="36" spans="2:7">
      <c r="B36" t="str">
        <f>'Premissas e Cálculos'!B128</f>
        <v>ETE Rio Toledo</v>
      </c>
      <c r="C36" s="252" cm="1">
        <f t="array" ref="C36">_xlfn.XLOOKUP(B36,Dashboard!$D$27:$H$27,_xlfn.ANCHORARRAY(Dashboard!$D$28))</f>
        <v>58.079654997463216</v>
      </c>
      <c r="D36" s="242">
        <f>'Premissas e Cálculos'!D128*1000</f>
        <v>39696187.258934833</v>
      </c>
      <c r="E36" s="87">
        <f>D36-'Premissas Técnicas'!D30*1000</f>
        <v>27838641.228934832</v>
      </c>
    </row>
    <row r="37" spans="2:7">
      <c r="B37" t="str">
        <f>'Premissas e Cálculos'!B129</f>
        <v>ETE Verde</v>
      </c>
      <c r="C37" s="252" cm="1">
        <f t="array" ref="C37">_xlfn.XLOOKUP(B37,Dashboard!$D$27:$H$27,_xlfn.ANCHORARRAY(Dashboard!$D$28))</f>
        <v>41.840690005073569</v>
      </c>
      <c r="D37" s="242">
        <f>'Premissas e Cálculos'!D129*1000</f>
        <v>31892118.027438045</v>
      </c>
      <c r="E37" s="87">
        <f>D37-'Premissas Técnicas'!D31*1000</f>
        <v>20034571.997438043</v>
      </c>
    </row>
    <row r="39" spans="2:7">
      <c r="G39" s="86">
        <f>G7-27000000</f>
        <v>106928311</v>
      </c>
    </row>
  </sheetData>
  <mergeCells count="1">
    <mergeCell ref="F15:K15"/>
  </mergeCells>
  <pageMargins left="0.511811024" right="0.511811024" top="0.78740157499999996" bottom="0.78740157499999996" header="0.31496062000000002" footer="0.31496062000000002"/>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1376D-EFD8-4E8D-8B1E-1BB829B02DDB}">
  <sheetPr>
    <tabColor theme="2" tint="-9.9978637043366805E-2"/>
  </sheetPr>
  <dimension ref="A1:AR72"/>
  <sheetViews>
    <sheetView showGridLines="0" zoomScale="88" zoomScaleNormal="88" workbookViewId="0">
      <selection activeCell="M26" sqref="M26"/>
    </sheetView>
  </sheetViews>
  <sheetFormatPr defaultRowHeight="15"/>
  <cols>
    <col min="2" max="2" width="29.42578125" bestFit="1" customWidth="1"/>
    <col min="3" max="3" width="15.42578125" bestFit="1" customWidth="1"/>
    <col min="4" max="4" width="13.85546875" customWidth="1"/>
    <col min="5" max="5" width="10.5703125" bestFit="1" customWidth="1"/>
    <col min="6" max="6" width="10.28515625" customWidth="1"/>
    <col min="7" max="7" width="14.28515625" customWidth="1"/>
    <col min="8" max="8" width="19.140625" customWidth="1"/>
    <col min="10" max="10" width="13.85546875" bestFit="1" customWidth="1"/>
    <col min="11" max="11" width="14.5703125" customWidth="1"/>
    <col min="12" max="12" width="15.140625" customWidth="1"/>
  </cols>
  <sheetData>
    <row r="1" spans="1:44" s="47" customFormat="1" ht="25.5">
      <c r="A1" s="43"/>
      <c r="B1" s="44"/>
      <c r="C1" s="45"/>
      <c r="D1" s="46" t="s">
        <v>223</v>
      </c>
      <c r="E1" s="46"/>
      <c r="F1" s="46"/>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row>
    <row r="2" spans="1:44" s="259" customFormat="1" ht="12.75">
      <c r="A2" s="254"/>
      <c r="B2" s="255"/>
      <c r="C2" s="255"/>
      <c r="D2" s="255"/>
      <c r="E2" s="255"/>
      <c r="F2" s="256"/>
      <c r="G2" s="257"/>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c r="AQ2" s="258"/>
      <c r="AR2" s="258"/>
    </row>
    <row r="4" spans="1:44" hidden="1">
      <c r="B4" s="19" t="s">
        <v>248</v>
      </c>
      <c r="K4" s="157" t="s">
        <v>283</v>
      </c>
    </row>
    <row r="5" spans="1:44" ht="42" hidden="1" customHeight="1">
      <c r="K5" s="171" t="s">
        <v>281</v>
      </c>
      <c r="L5" s="171" t="s">
        <v>282</v>
      </c>
    </row>
    <row r="6" spans="1:44" hidden="1">
      <c r="B6" s="59" t="s">
        <v>220</v>
      </c>
      <c r="C6" s="60" t="s">
        <v>8</v>
      </c>
      <c r="D6" s="66">
        <f>SUM(D7:D12)*1.1</f>
        <v>1.7661198719563165</v>
      </c>
      <c r="J6" t="s">
        <v>304</v>
      </c>
      <c r="K6" s="170">
        <v>1.9989892288432267</v>
      </c>
      <c r="L6" s="170">
        <v>30.993631059599998</v>
      </c>
    </row>
    <row r="7" spans="1:44" hidden="1">
      <c r="B7" s="37" t="s">
        <v>10</v>
      </c>
      <c r="C7" s="11" t="s">
        <v>8</v>
      </c>
      <c r="D7" s="68">
        <f>'Capex.Opex_Ref téc'!G87</f>
        <v>7.7563519960287486E-2</v>
      </c>
      <c r="F7" s="159"/>
      <c r="J7" t="s">
        <v>305</v>
      </c>
      <c r="K7" s="170">
        <v>3.6585537034500253</v>
      </c>
      <c r="L7" s="170">
        <v>23.835630397333333</v>
      </c>
    </row>
    <row r="8" spans="1:44" hidden="1">
      <c r="B8" s="37" t="s">
        <v>92</v>
      </c>
      <c r="C8" s="11" t="s">
        <v>8</v>
      </c>
      <c r="D8" s="68">
        <f>'Capex.Opex_Ref téc'!G72</f>
        <v>1.2000000000000004E-2</v>
      </c>
      <c r="J8" t="s">
        <v>309</v>
      </c>
      <c r="K8" s="170">
        <v>1.0085366673008624</v>
      </c>
      <c r="L8" s="170">
        <v>11.25904516836</v>
      </c>
    </row>
    <row r="9" spans="1:44" hidden="1">
      <c r="B9" s="37" t="s">
        <v>141</v>
      </c>
      <c r="C9" s="11" t="s">
        <v>8</v>
      </c>
      <c r="D9" s="68">
        <f>'Capex.Opex_Ref téc'!G73</f>
        <v>0.49200000000000005</v>
      </c>
      <c r="J9" t="s">
        <v>310</v>
      </c>
      <c r="K9" s="170">
        <v>1.0433137937595129</v>
      </c>
      <c r="L9" s="170">
        <v>7.896466511999999</v>
      </c>
    </row>
    <row r="10" spans="1:44" hidden="1">
      <c r="B10" s="37" t="s">
        <v>93</v>
      </c>
      <c r="C10" s="11" t="s">
        <v>8</v>
      </c>
      <c r="D10" s="68">
        <f>'Capex.Opex_Ref téc'!G74</f>
        <v>0.19200000000000006</v>
      </c>
      <c r="J10" t="s">
        <v>311</v>
      </c>
      <c r="K10" s="170">
        <v>0.75118593150684931</v>
      </c>
      <c r="L10" s="170">
        <v>5.7578401650000002</v>
      </c>
    </row>
    <row r="11" spans="1:44" hidden="1">
      <c r="B11" s="37" t="s">
        <v>97</v>
      </c>
      <c r="C11" s="11" t="s">
        <v>8</v>
      </c>
      <c r="D11" s="68">
        <f>'Capex.Opex_Ref téc'!G75</f>
        <v>0.13200000000000003</v>
      </c>
      <c r="J11" t="s">
        <v>312</v>
      </c>
      <c r="K11" s="170">
        <v>0.97375954084221206</v>
      </c>
      <c r="L11" s="170">
        <v>4.2772526940000004</v>
      </c>
    </row>
    <row r="12" spans="1:44" hidden="1">
      <c r="B12" s="37" t="s">
        <v>260</v>
      </c>
      <c r="C12" s="11" t="s">
        <v>8</v>
      </c>
      <c r="D12" s="68">
        <v>0.7</v>
      </c>
      <c r="J12" t="s">
        <v>313</v>
      </c>
      <c r="K12" s="170">
        <v>0.25571416513713552</v>
      </c>
      <c r="L12" s="170">
        <v>2.6611866308823533</v>
      </c>
    </row>
    <row r="13" spans="1:44" hidden="1">
      <c r="J13" t="s">
        <v>314</v>
      </c>
      <c r="K13" s="170">
        <v>0.5677898197330683</v>
      </c>
      <c r="L13" s="170">
        <v>18.733963918775508</v>
      </c>
    </row>
    <row r="14" spans="1:44" hidden="1">
      <c r="B14" s="59" t="s">
        <v>222</v>
      </c>
      <c r="C14" s="60"/>
      <c r="D14" s="66">
        <f>SUM(D15:D21)*1.1</f>
        <v>19886.806543755854</v>
      </c>
      <c r="E14" s="59"/>
      <c r="F14" t="s">
        <v>291</v>
      </c>
      <c r="G14" s="75">
        <v>30</v>
      </c>
      <c r="H14" t="s">
        <v>4</v>
      </c>
      <c r="J14" t="s">
        <v>315</v>
      </c>
      <c r="K14" s="170">
        <v>2.5503226069676979</v>
      </c>
      <c r="L14" s="170">
        <v>42.498344074999999</v>
      </c>
    </row>
    <row r="15" spans="1:44" hidden="1">
      <c r="B15" s="37" t="s">
        <v>255</v>
      </c>
      <c r="C15" s="11" t="s">
        <v>21</v>
      </c>
      <c r="D15" s="62">
        <f>'Capex.Opex_Ref téc'!H23*($G$14/'Capex.Opex_Ref téc'!E23)^0.6/1000</f>
        <v>4037.2980787571737</v>
      </c>
      <c r="E15" s="65">
        <v>23</v>
      </c>
      <c r="J15" t="s">
        <v>316</v>
      </c>
      <c r="K15" s="170">
        <v>1.2171994260527652</v>
      </c>
      <c r="L15" s="170">
        <v>35.09540672</v>
      </c>
    </row>
    <row r="16" spans="1:44" hidden="1">
      <c r="B16" s="37" t="s">
        <v>256</v>
      </c>
      <c r="C16" s="11" t="s">
        <v>21</v>
      </c>
      <c r="D16" s="62">
        <f>'Capex.Opex_Ref téc'!H21*($G$14/'Capex.Opex_Ref téc'!E21)^0.6/1000</f>
        <v>3313.7351290706565</v>
      </c>
      <c r="E16" s="65">
        <v>10</v>
      </c>
      <c r="J16" t="s">
        <v>317</v>
      </c>
      <c r="K16" s="170">
        <v>0.24840804613321735</v>
      </c>
      <c r="L16" s="170">
        <v>5.2486434157142865</v>
      </c>
    </row>
    <row r="17" spans="2:15" hidden="1">
      <c r="B17" s="37" t="s">
        <v>290</v>
      </c>
      <c r="C17" s="11" t="s">
        <v>21</v>
      </c>
      <c r="D17" s="62">
        <f>'Capex.Opex_Ref téc'!H22*($G$14/'Capex.Opex_Ref téc'!E22)^0.6/1000</f>
        <v>309.90827288233976</v>
      </c>
      <c r="E17" s="65">
        <v>10</v>
      </c>
    </row>
    <row r="18" spans="2:15" hidden="1">
      <c r="B18" s="37" t="s">
        <v>51</v>
      </c>
      <c r="C18" s="11" t="s">
        <v>21</v>
      </c>
      <c r="D18" s="62">
        <f>'Capex.Opex_Ref téc'!H15*($G$14/'Capex.Opex_Ref téc'!E15)^0.6/1000</f>
        <v>3027.9735590678793</v>
      </c>
      <c r="E18" s="65">
        <v>3</v>
      </c>
      <c r="J18" s="157" t="s">
        <v>285</v>
      </c>
      <c r="K18" s="170">
        <f>MEDIAN(K6:K16)</f>
        <v>1.0085366673008624</v>
      </c>
      <c r="L18" s="170">
        <f>MEDIAN(L6:L16)</f>
        <v>11.25904516836</v>
      </c>
    </row>
    <row r="19" spans="2:15" hidden="1">
      <c r="B19" s="61" t="s">
        <v>258</v>
      </c>
      <c r="C19" s="11" t="s">
        <v>21</v>
      </c>
      <c r="D19" s="62">
        <v>30</v>
      </c>
      <c r="E19" s="65">
        <v>5</v>
      </c>
      <c r="J19" s="157" t="s">
        <v>284</v>
      </c>
      <c r="K19" s="170">
        <f>AVERAGE(K6:K16)</f>
        <v>1.2976157208842338</v>
      </c>
      <c r="L19" s="170">
        <f>AVERAGE(L6:L16)</f>
        <v>17.114310068787773</v>
      </c>
    </row>
    <row r="20" spans="2:15" hidden="1">
      <c r="B20" s="128" t="s">
        <v>224</v>
      </c>
      <c r="C20" s="11" t="s">
        <v>21</v>
      </c>
      <c r="D20" s="62">
        <v>600</v>
      </c>
      <c r="E20" s="65">
        <v>10</v>
      </c>
    </row>
    <row r="21" spans="2:15" hidden="1">
      <c r="B21" s="128" t="s">
        <v>265</v>
      </c>
      <c r="C21" s="11" t="s">
        <v>21</v>
      </c>
      <c r="D21" s="62">
        <v>6760</v>
      </c>
      <c r="E21" s="65">
        <v>25</v>
      </c>
    </row>
    <row r="23" spans="2:15">
      <c r="B23" s="157" t="s">
        <v>145</v>
      </c>
      <c r="H23" s="157" t="s">
        <v>521</v>
      </c>
    </row>
    <row r="24" spans="2:15">
      <c r="G24" s="11"/>
      <c r="H24" s="21"/>
      <c r="I24" s="11"/>
    </row>
    <row r="25" spans="2:15" s="11" customFormat="1" ht="12.75">
      <c r="B25" s="172" t="s">
        <v>263</v>
      </c>
      <c r="C25" s="21">
        <v>8</v>
      </c>
      <c r="D25" s="11" t="s">
        <v>8</v>
      </c>
      <c r="H25" s="35" t="s">
        <v>515</v>
      </c>
      <c r="I25" s="19" t="s">
        <v>516</v>
      </c>
      <c r="J25" s="19" t="s">
        <v>47</v>
      </c>
      <c r="K25" s="19" t="s">
        <v>517</v>
      </c>
      <c r="L25" s="19" t="s">
        <v>518</v>
      </c>
      <c r="M25" s="19" t="s">
        <v>513</v>
      </c>
      <c r="N25" s="19"/>
      <c r="O25" s="19"/>
    </row>
    <row r="26" spans="2:15" s="11" customFormat="1" ht="12.75">
      <c r="B26" s="11" t="s">
        <v>286</v>
      </c>
      <c r="C26" s="21">
        <f>-9.25%*C25</f>
        <v>-0.74</v>
      </c>
      <c r="D26" s="11" t="s">
        <v>8</v>
      </c>
      <c r="H26" s="21" t="s">
        <v>520</v>
      </c>
      <c r="I26" s="11">
        <v>1000</v>
      </c>
      <c r="J26" s="42">
        <v>364000000</v>
      </c>
      <c r="K26" s="11">
        <v>2010</v>
      </c>
      <c r="L26" s="42" cm="1">
        <f t="array" ref="L26" xml:space="preserve"> J26 * PRODUCT(1 + INDEX(Inflação!$B$1:$B$30,MATCH(K26+1,Inflação!$A$1:$A$30,0)):INDEX(Inflação!$B$1:$B$30,MATCH(2024,Inflação!$A$1:$A$30,0))/100)</f>
        <v>808829123.91357613</v>
      </c>
      <c r="M26" s="30">
        <f>L26/I26/1000</f>
        <v>808.82912391357615</v>
      </c>
    </row>
    <row r="27" spans="2:15" s="11" customFormat="1" ht="12.75">
      <c r="B27" s="11" t="s">
        <v>264</v>
      </c>
      <c r="C27" s="21">
        <f>C25+C26</f>
        <v>7.26</v>
      </c>
      <c r="D27" s="11" t="s">
        <v>8</v>
      </c>
      <c r="H27" s="21" t="s">
        <v>519</v>
      </c>
      <c r="I27" s="11">
        <v>300</v>
      </c>
      <c r="J27" s="42">
        <v>240000000</v>
      </c>
      <c r="K27" s="11">
        <v>2024</v>
      </c>
      <c r="L27" s="42" cm="1">
        <f t="array" ref="L27" xml:space="preserve"> J27 * PRODUCT(1 + INDEX(Inflação!$B$1:$B$31,MATCH(K27+1,Inflação!$A$1:$A$31,0)):INDEX(Inflação!$B$1:$B$31,MATCH(2024,Inflação!$A$1:$A$31,0))/100)</f>
        <v>263844530.39999998</v>
      </c>
      <c r="M27" s="30">
        <f>L27/I27/1000</f>
        <v>879.48176799999987</v>
      </c>
    </row>
    <row r="28" spans="2:15" s="11" customFormat="1" ht="12.75">
      <c r="B28" s="11" t="s">
        <v>261</v>
      </c>
      <c r="C28" s="21">
        <f>-D6</f>
        <v>-1.7661198719563165</v>
      </c>
      <c r="D28" s="11" t="s">
        <v>8</v>
      </c>
      <c r="H28" s="21"/>
      <c r="I28" s="11">
        <v>50</v>
      </c>
      <c r="J28" s="11" t="str">
        <f>Aux_cotações!G8</f>
        <v>155.444.872</v>
      </c>
      <c r="M28" s="21">
        <f>J28/I28/1000</f>
        <v>3108.8974399999997</v>
      </c>
    </row>
    <row r="29" spans="2:15" s="11" customFormat="1" ht="12.75">
      <c r="B29" s="11" t="s">
        <v>262</v>
      </c>
      <c r="C29" s="21">
        <f>C27+C28</f>
        <v>5.4938801280436831</v>
      </c>
      <c r="D29" s="11" t="s">
        <v>8</v>
      </c>
      <c r="H29" s="21"/>
    </row>
    <row r="30" spans="2:15" s="11" customFormat="1" ht="12.75">
      <c r="B30" s="11" t="s">
        <v>266</v>
      </c>
      <c r="C30" s="21">
        <f>-0.34*C29</f>
        <v>-1.8679192435348524</v>
      </c>
      <c r="D30" s="11" t="s">
        <v>8</v>
      </c>
      <c r="H30" s="21"/>
    </row>
    <row r="31" spans="2:15" s="11" customFormat="1" ht="12.75">
      <c r="B31" s="11" t="s">
        <v>287</v>
      </c>
      <c r="C31" s="21">
        <f>C29+C30</f>
        <v>3.6259608845088307</v>
      </c>
      <c r="D31" s="11" t="s">
        <v>8</v>
      </c>
      <c r="H31" s="21"/>
    </row>
    <row r="32" spans="2:15" s="11" customFormat="1" ht="12.75"/>
    <row r="33" spans="2:11" s="11" customFormat="1" ht="12.75">
      <c r="B33" s="11" t="s">
        <v>267</v>
      </c>
      <c r="C33" s="12">
        <v>0.15</v>
      </c>
      <c r="H33" s="12"/>
    </row>
    <row r="34" spans="2:11" s="11" customFormat="1" ht="12.75">
      <c r="H34" s="42"/>
    </row>
    <row r="35" spans="2:11" s="11" customFormat="1" ht="12.75">
      <c r="B35" s="11" t="s">
        <v>512</v>
      </c>
      <c r="C35" s="42">
        <f>C39/C33</f>
        <v>37922329.468288675</v>
      </c>
      <c r="D35" s="42"/>
      <c r="H35" s="42"/>
    </row>
    <row r="36" spans="2:11" s="11" customFormat="1" ht="12.75">
      <c r="B36" s="11" t="s">
        <v>511</v>
      </c>
      <c r="C36" s="42">
        <f>C31/C33</f>
        <v>24.173072563392207</v>
      </c>
      <c r="D36" s="42"/>
      <c r="H36" s="42"/>
    </row>
    <row r="37" spans="2:11" s="11" customFormat="1" ht="12.75">
      <c r="B37" s="38" t="s">
        <v>513</v>
      </c>
      <c r="C37" s="263">
        <f>C35/C42/1000</f>
        <v>762.32201635913657</v>
      </c>
      <c r="D37" s="42"/>
      <c r="E37" s="42"/>
      <c r="H37" s="42"/>
    </row>
    <row r="38" spans="2:11" s="11" customFormat="1" ht="12.75">
      <c r="B38" s="38" t="s">
        <v>514</v>
      </c>
      <c r="C38" s="263">
        <f>(C35-Aux_cotações!F33)/C42/1000</f>
        <v>304.75562925936009</v>
      </c>
      <c r="D38" s="42"/>
      <c r="E38" s="42"/>
      <c r="H38" s="42"/>
    </row>
    <row r="39" spans="2:11" s="11" customFormat="1" ht="13.5" customHeight="1">
      <c r="B39" s="11" t="s">
        <v>509</v>
      </c>
      <c r="C39" s="42">
        <f>C40*C31</f>
        <v>5688349.4202433014</v>
      </c>
      <c r="H39" s="42"/>
    </row>
    <row r="40" spans="2:11" s="11" customFormat="1" ht="12.75">
      <c r="B40" s="11" t="s">
        <v>5</v>
      </c>
      <c r="C40" s="21">
        <f>C44*12*C45</f>
        <v>1568784</v>
      </c>
      <c r="H40" s="42"/>
    </row>
    <row r="41" spans="2:11" s="11" customFormat="1" ht="12.75">
      <c r="B41" s="11" t="s">
        <v>275</v>
      </c>
      <c r="C41" s="42">
        <f>C40/12</f>
        <v>130732</v>
      </c>
      <c r="H41" s="42"/>
    </row>
    <row r="42" spans="2:11" s="11" customFormat="1" ht="12.75">
      <c r="B42" s="11" t="s">
        <v>4</v>
      </c>
      <c r="C42" s="136">
        <f>C40/(365*24*3600)*1000</f>
        <v>49.74581430745814</v>
      </c>
      <c r="H42" s="136"/>
    </row>
    <row r="43" spans="2:11" s="11" customFormat="1" ht="12.75">
      <c r="C43" s="136"/>
      <c r="H43" s="136"/>
    </row>
    <row r="44" spans="2:11" s="11" customFormat="1">
      <c r="B44" s="134" t="s">
        <v>318</v>
      </c>
      <c r="C44" s="253">
        <v>16341.5</v>
      </c>
      <c r="D44" s="167">
        <f>C44/(30*24*3600)*1000</f>
        <v>6.304591049382716</v>
      </c>
      <c r="E44" t="s">
        <v>4</v>
      </c>
      <c r="G44"/>
      <c r="H44" s="86"/>
      <c r="I44" s="167"/>
      <c r="J44"/>
      <c r="K44" s="14"/>
    </row>
    <row r="45" spans="2:11" s="11" customFormat="1" ht="12.75">
      <c r="B45" s="11" t="s">
        <v>276</v>
      </c>
      <c r="C45" s="136">
        <v>8</v>
      </c>
      <c r="D45" s="136">
        <f>D44*C45</f>
        <v>50.436728395061728</v>
      </c>
      <c r="H45" s="136"/>
    </row>
    <row r="46" spans="2:11" s="11" customFormat="1" ht="12.75">
      <c r="C46" s="136"/>
      <c r="H46" s="136"/>
    </row>
    <row r="47" spans="2:11" s="11" customFormat="1" ht="12.75">
      <c r="C47" s="136"/>
      <c r="H47" s="136"/>
    </row>
    <row r="48" spans="2:11" s="11" customFormat="1">
      <c r="C48"/>
      <c r="H48" s="136"/>
    </row>
    <row r="49" spans="2:7" s="11" customFormat="1">
      <c r="C49" s="17"/>
    </row>
    <row r="50" spans="2:7" s="11" customFormat="1" ht="12.75"/>
    <row r="51" spans="2:7" ht="15.6" hidden="1" customHeight="1">
      <c r="B51" s="179" t="s">
        <v>300</v>
      </c>
    </row>
    <row r="52" spans="2:7" hidden="1"/>
    <row r="53" spans="2:7" hidden="1">
      <c r="B53" s="179" t="s">
        <v>302</v>
      </c>
    </row>
    <row r="54" spans="2:7" hidden="1">
      <c r="B54" s="179" t="s">
        <v>301</v>
      </c>
      <c r="C54" s="23">
        <v>1.2</v>
      </c>
      <c r="D54" s="23"/>
    </row>
    <row r="55" spans="2:7" hidden="1">
      <c r="B55" s="173" t="s">
        <v>274</v>
      </c>
      <c r="C55" s="175">
        <v>9</v>
      </c>
      <c r="D55" s="11"/>
      <c r="E55">
        <v>100</v>
      </c>
      <c r="F55">
        <v>300</v>
      </c>
    </row>
    <row r="56" spans="2:7" hidden="1">
      <c r="B56" s="173" t="s">
        <v>268</v>
      </c>
      <c r="C56" s="176">
        <f>C55/1000</f>
        <v>8.9999999999999993E-3</v>
      </c>
      <c r="D56" s="11"/>
    </row>
    <row r="57" spans="2:7" hidden="1">
      <c r="B57" s="173" t="s">
        <v>269</v>
      </c>
      <c r="C57" s="177" t="s">
        <v>273</v>
      </c>
      <c r="D57" s="11"/>
    </row>
    <row r="58" spans="2:7" hidden="1">
      <c r="B58" s="173" t="s">
        <v>270</v>
      </c>
      <c r="C58" s="178">
        <f>SQRT(4*C56/($C$54*PI()))*1000</f>
        <v>97.72050238058398</v>
      </c>
      <c r="D58" s="11"/>
    </row>
    <row r="59" spans="2:7" hidden="1">
      <c r="B59" s="173" t="s">
        <v>271</v>
      </c>
      <c r="C59" s="23">
        <v>200</v>
      </c>
      <c r="D59" s="11"/>
    </row>
    <row r="60" spans="2:7" hidden="1">
      <c r="B60" s="173" t="s">
        <v>272</v>
      </c>
      <c r="C60" s="23">
        <v>200</v>
      </c>
      <c r="D60" s="11"/>
    </row>
    <row r="61" spans="2:7" hidden="1"/>
    <row r="62" spans="2:7" hidden="1"/>
    <row r="63" spans="2:7" hidden="1">
      <c r="B63" s="173" t="s">
        <v>259</v>
      </c>
    </row>
    <row r="64" spans="2:7" hidden="1">
      <c r="B64" s="173" t="s">
        <v>292</v>
      </c>
      <c r="C64">
        <v>13</v>
      </c>
      <c r="D64" t="s">
        <v>218</v>
      </c>
      <c r="F64" s="87" t="e">
        <f>#REF!*C65</f>
        <v>#REF!</v>
      </c>
      <c r="G64" s="87" t="s">
        <v>352</v>
      </c>
    </row>
    <row r="65" spans="2:7" hidden="1">
      <c r="B65" t="s">
        <v>293</v>
      </c>
      <c r="C65">
        <v>10</v>
      </c>
      <c r="D65" t="s">
        <v>156</v>
      </c>
      <c r="F65" s="87" t="e">
        <f>F64*C67</f>
        <v>#REF!</v>
      </c>
      <c r="G65" s="87" t="s">
        <v>254</v>
      </c>
    </row>
    <row r="66" spans="2:7" hidden="1">
      <c r="B66" t="s">
        <v>294</v>
      </c>
      <c r="C66" s="87">
        <f>C41/C64</f>
        <v>10056.307692307691</v>
      </c>
      <c r="F66" t="e">
        <f>F65/#REF!</f>
        <v>#REF!</v>
      </c>
      <c r="G66" t="s">
        <v>8</v>
      </c>
    </row>
    <row r="67" spans="2:7" hidden="1">
      <c r="B67" t="s">
        <v>319</v>
      </c>
      <c r="C67">
        <v>1.1200000000000001</v>
      </c>
      <c r="D67" t="s">
        <v>295</v>
      </c>
      <c r="F67" s="167"/>
    </row>
    <row r="68" spans="2:7" hidden="1">
      <c r="B68" t="s">
        <v>296</v>
      </c>
      <c r="C68">
        <f>C64*C65</f>
        <v>130</v>
      </c>
    </row>
    <row r="69" spans="2:7" hidden="1">
      <c r="B69" t="s">
        <v>297</v>
      </c>
      <c r="C69" s="87">
        <f>C66*C68</f>
        <v>1307320</v>
      </c>
    </row>
    <row r="70" spans="2:7" hidden="1">
      <c r="B70" t="s">
        <v>298</v>
      </c>
      <c r="C70" s="174">
        <f>C69*C67</f>
        <v>1464198.4000000001</v>
      </c>
    </row>
    <row r="71" spans="2:7" hidden="1">
      <c r="B71" t="s">
        <v>299</v>
      </c>
      <c r="C71" s="159">
        <f>C70/C41</f>
        <v>11.200000000000001</v>
      </c>
      <c r="D71" t="s">
        <v>8</v>
      </c>
    </row>
    <row r="72" spans="2:7" hidden="1"/>
  </sheetData>
  <autoFilter ref="K5:L16" xr:uid="{DD51376D-EFD8-4E8D-8B1E-1BB829B02DDB}"/>
  <sortState xmlns:xlrd2="http://schemas.microsoft.com/office/spreadsheetml/2017/richdata2" ref="L6:L16">
    <sortCondition descending="1" ref="L5:L16"/>
  </sortState>
  <phoneticPr fontId="19" type="noConversion"/>
  <pageMargins left="0.511811024" right="0.511811024" top="0.78740157499999996" bottom="0.78740157499999996" header="0.31496062000000002" footer="0.31496062000000002"/>
  <pageSetup orientation="portrait" r:id="rId1"/>
  <ignoredErrors>
    <ignoredError sqref="D17:D18" unlocked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CEA57-F914-46C2-8378-75402FE93985}">
  <sheetPr>
    <tabColor theme="5" tint="0.39997558519241921"/>
  </sheetPr>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398A2-08D2-4392-A905-FDB724990397}">
  <sheetPr>
    <tabColor theme="5" tint="0.79998168889431442"/>
  </sheetPr>
  <dimension ref="A1:AR120"/>
  <sheetViews>
    <sheetView showGridLines="0" topLeftCell="C23" zoomScale="83" zoomScaleNormal="83" workbookViewId="0">
      <selection activeCell="D48" sqref="D48:D50"/>
    </sheetView>
  </sheetViews>
  <sheetFormatPr defaultRowHeight="15" outlineLevelRow="1"/>
  <cols>
    <col min="1" max="1" width="13.140625" hidden="1" customWidth="1"/>
    <col min="2" max="2" width="7.5703125" hidden="1" customWidth="1"/>
    <col min="3" max="3" width="9" customWidth="1"/>
    <col min="4" max="4" width="35" style="11" customWidth="1"/>
    <col min="5" max="5" width="19.85546875" style="11" customWidth="1"/>
    <col min="6" max="6" width="16.5703125" style="11" customWidth="1"/>
    <col min="7" max="7" width="26.7109375" style="11" customWidth="1"/>
    <col min="8" max="8" width="25.85546875" style="11" customWidth="1"/>
    <col min="9" max="9" width="35.42578125" style="11" customWidth="1"/>
    <col min="10" max="10" width="37.5703125" style="11" customWidth="1"/>
    <col min="11" max="11" width="18.85546875" style="11" customWidth="1"/>
    <col min="12" max="13" width="8.7109375" style="11"/>
    <col min="14" max="14" width="20" style="18" customWidth="1"/>
  </cols>
  <sheetData>
    <row r="1" spans="1:44" s="47" customFormat="1" ht="25.5">
      <c r="A1" s="43"/>
      <c r="B1" s="44"/>
      <c r="C1" s="45"/>
      <c r="D1" s="46" t="s">
        <v>98</v>
      </c>
      <c r="E1" s="46"/>
      <c r="F1" s="46"/>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row>
    <row r="2" spans="1:44" s="53" customFormat="1" ht="12.75">
      <c r="A2" s="48"/>
      <c r="B2" s="49"/>
      <c r="C2" s="49"/>
      <c r="D2" s="49"/>
      <c r="E2" s="49"/>
      <c r="F2" s="50"/>
      <c r="G2" s="51"/>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4" s="133" customFormat="1" ht="12.75">
      <c r="A3" s="130"/>
      <c r="B3" s="131"/>
      <c r="C3" s="131"/>
      <c r="D3" s="131"/>
      <c r="E3" s="131"/>
      <c r="F3" s="131"/>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row>
    <row r="5" spans="1:44" ht="15" customHeight="1" thickBot="1">
      <c r="A5">
        <v>1995</v>
      </c>
      <c r="B5">
        <v>22.41</v>
      </c>
      <c r="C5" s="31"/>
      <c r="D5" s="32" t="s">
        <v>221</v>
      </c>
      <c r="E5" s="33"/>
      <c r="F5" s="33"/>
      <c r="G5" s="33"/>
      <c r="H5" s="33"/>
      <c r="I5" s="33"/>
      <c r="J5" s="33"/>
      <c r="K5" s="33"/>
      <c r="L5" s="33"/>
      <c r="M5" s="33"/>
      <c r="N5" s="34"/>
      <c r="O5" s="31"/>
    </row>
    <row r="6" spans="1:44" ht="15" customHeight="1">
      <c r="D6" s="19"/>
    </row>
    <row r="7" spans="1:44" ht="15" customHeight="1">
      <c r="A7">
        <v>1997</v>
      </c>
      <c r="B7">
        <v>5.22</v>
      </c>
      <c r="D7" s="156" t="s">
        <v>251</v>
      </c>
    </row>
    <row r="8" spans="1:44" ht="15" customHeight="1" outlineLevel="1">
      <c r="A8">
        <v>1998</v>
      </c>
      <c r="B8">
        <v>1.65</v>
      </c>
      <c r="D8" s="19" t="s">
        <v>51</v>
      </c>
    </row>
    <row r="9" spans="1:44" ht="15" customHeight="1" outlineLevel="1">
      <c r="A9">
        <v>1999</v>
      </c>
      <c r="B9">
        <v>8.94</v>
      </c>
      <c r="D9" s="22" t="s">
        <v>52</v>
      </c>
      <c r="E9" s="22" t="s">
        <v>53</v>
      </c>
      <c r="F9" s="22" t="s">
        <v>54</v>
      </c>
      <c r="G9" s="22" t="s">
        <v>63</v>
      </c>
      <c r="H9" s="22" t="s">
        <v>71</v>
      </c>
      <c r="I9" s="22" t="s">
        <v>55</v>
      </c>
      <c r="J9" s="22" t="s">
        <v>56</v>
      </c>
      <c r="K9" s="22" t="s">
        <v>61</v>
      </c>
    </row>
    <row r="10" spans="1:44" ht="15" customHeight="1" outlineLevel="1">
      <c r="A10">
        <v>2000</v>
      </c>
      <c r="B10">
        <v>5.97</v>
      </c>
      <c r="D10" s="11" t="s">
        <v>6</v>
      </c>
      <c r="E10" s="23">
        <v>100</v>
      </c>
      <c r="F10" s="24">
        <v>2373238.5</v>
      </c>
      <c r="G10" s="25">
        <v>2008</v>
      </c>
      <c r="H10" s="26" cm="1">
        <f t="array" ref="H10" xml:space="preserve"> F10 * PRODUCT(1 + INDEX($B$5:$B$62,MATCH(G10+1,$A$5:$A$62,0)):INDEX($B$5:$B$62,MATCH(2025,$A$5:$A$62,0))/100)</f>
        <v>5187983.7902534883</v>
      </c>
      <c r="I10" s="27" t="s">
        <v>57</v>
      </c>
      <c r="J10" s="27" t="s">
        <v>64</v>
      </c>
      <c r="K10" s="23"/>
    </row>
    <row r="11" spans="1:44" ht="15" customHeight="1" outlineLevel="1">
      <c r="A11">
        <v>2001</v>
      </c>
      <c r="B11">
        <v>7.67</v>
      </c>
      <c r="D11" s="11" t="s">
        <v>6</v>
      </c>
      <c r="E11" s="23">
        <v>100</v>
      </c>
      <c r="F11" s="24">
        <f>(341615*E11/K11+345942)*2.3</f>
        <v>2588716.57717937</v>
      </c>
      <c r="G11" s="25">
        <v>2005</v>
      </c>
      <c r="H11" s="26" cm="1">
        <f t="array" ref="H11" xml:space="preserve"> F11 * PRODUCT(1 + INDEX($B$5:$B$62,MATCH(G11+1,$A$5:$A$62,0)):INDEX($B$5:$B$62,MATCH(2025,$A$5:$A$62,0))/100)</f>
        <v>6456762.8992246604</v>
      </c>
      <c r="I11" s="27" t="s">
        <v>76</v>
      </c>
      <c r="J11" s="27" t="s">
        <v>69</v>
      </c>
      <c r="K11" s="23">
        <v>43.82</v>
      </c>
      <c r="L11" s="11" t="s">
        <v>62</v>
      </c>
      <c r="M11" s="11" t="s">
        <v>70</v>
      </c>
      <c r="N11" s="18" t="s">
        <v>84</v>
      </c>
    </row>
    <row r="12" spans="1:44" ht="15" customHeight="1" outlineLevel="1">
      <c r="A12">
        <v>2002</v>
      </c>
      <c r="B12">
        <v>12.53</v>
      </c>
      <c r="D12" s="11" t="s">
        <v>58</v>
      </c>
      <c r="E12" s="23">
        <v>100</v>
      </c>
      <c r="F12" s="24">
        <f>1681.53*24*3600/1000*E12</f>
        <v>14528419.200000001</v>
      </c>
      <c r="G12" s="25">
        <v>2017</v>
      </c>
      <c r="H12" s="26" cm="1">
        <f t="array" ref="H12" xml:space="preserve"> F12 * PRODUCT(1 + INDEX($B$5:$B$62,MATCH(G12+1,$A$5:$A$62,0)):INDEX($B$5:$B$62,MATCH(2025,$A$5:$A$62,0))/100)</f>
        <v>22006831.051385049</v>
      </c>
      <c r="I12" s="27" t="s">
        <v>59</v>
      </c>
      <c r="J12" s="28" t="s">
        <v>60</v>
      </c>
      <c r="K12" s="23"/>
    </row>
    <row r="13" spans="1:44" ht="15" customHeight="1" outlineLevel="1">
      <c r="A13">
        <v>2003</v>
      </c>
      <c r="B13">
        <v>9.3000000000000007</v>
      </c>
      <c r="D13" s="11" t="s">
        <v>65</v>
      </c>
      <c r="E13" s="23">
        <v>100</v>
      </c>
      <c r="F13" s="24">
        <f>2000*1.1*24*3600/1000*E13</f>
        <v>19008000</v>
      </c>
      <c r="G13" s="25">
        <v>1998</v>
      </c>
      <c r="H13" s="26" cm="1">
        <f t="array" ref="H13" xml:space="preserve"> F13 * PRODUCT(1 + INDEX($B$5:$B$62,MATCH(G13+1,$A$5:$A$62,0)):INDEX($B$5:$B$62,MATCH(2025,$A$5:$A$62,0))/100)</f>
        <v>82426417.732980192</v>
      </c>
      <c r="I13" s="27" t="s">
        <v>73</v>
      </c>
      <c r="J13" s="28" t="s">
        <v>66</v>
      </c>
      <c r="K13" s="23"/>
    </row>
    <row r="14" spans="1:44" ht="15" customHeight="1" outlineLevel="1">
      <c r="A14">
        <v>2004</v>
      </c>
      <c r="B14">
        <v>7.6</v>
      </c>
      <c r="D14" s="11" t="s">
        <v>65</v>
      </c>
      <c r="E14" s="23">
        <v>100</v>
      </c>
      <c r="F14" s="24">
        <f>600*1.8*24*3600/1000*E14</f>
        <v>9331200</v>
      </c>
      <c r="G14" s="25">
        <v>2010</v>
      </c>
      <c r="H14" s="26" cm="1">
        <f t="array" ref="H14" xml:space="preserve"> F14 * PRODUCT(1 + INDEX($B$5:$B$62,MATCH(G14+1,$A$5:$A$62,0)):INDEX($B$5:$B$62,MATCH(2025,$A$5:$A$62,0))/100)</f>
        <v>18464255.87490483</v>
      </c>
      <c r="I14" s="27" t="s">
        <v>72</v>
      </c>
      <c r="J14" s="28" t="s">
        <v>67</v>
      </c>
      <c r="K14" s="23" t="s">
        <v>68</v>
      </c>
    </row>
    <row r="15" spans="1:44" ht="15.95" customHeight="1" outlineLevel="1">
      <c r="A15">
        <v>2005</v>
      </c>
      <c r="B15">
        <v>5.69</v>
      </c>
      <c r="D15" s="11" t="s">
        <v>65</v>
      </c>
      <c r="E15" s="23">
        <v>100</v>
      </c>
      <c r="F15" s="24">
        <f>1653/27.8*1000*E15</f>
        <v>5946043.1654676255</v>
      </c>
      <c r="G15" s="25">
        <v>2024</v>
      </c>
      <c r="H15" s="26" cm="1">
        <f t="array" ref="H15" xml:space="preserve"> F15 * PRODUCT(1 + INDEX($B$5:$B$62,MATCH(G15+1,$A$5:$A$62,0)):INDEX($B$5:$B$62,MATCH(2025,$A$5:$A$62,0))/100)</f>
        <v>6235615.4676258983</v>
      </c>
      <c r="I15" s="29" t="s">
        <v>88</v>
      </c>
      <c r="J15" s="27" t="s">
        <v>86</v>
      </c>
      <c r="K15" s="23"/>
    </row>
    <row r="16" spans="1:44" ht="15" customHeight="1" outlineLevel="1">
      <c r="A16">
        <v>2006</v>
      </c>
      <c r="B16">
        <v>3.14</v>
      </c>
      <c r="E16" s="23"/>
      <c r="F16" s="24"/>
      <c r="G16" s="23"/>
      <c r="H16" s="23"/>
      <c r="I16" s="23"/>
      <c r="K16" s="23"/>
    </row>
    <row r="17" spans="1:15" ht="15" customHeight="1" outlineLevel="1">
      <c r="A17">
        <v>2007</v>
      </c>
      <c r="B17">
        <v>4.46</v>
      </c>
    </row>
    <row r="18" spans="1:15" ht="15" customHeight="1" outlineLevel="1">
      <c r="A18">
        <v>2008</v>
      </c>
      <c r="B18">
        <v>5.9</v>
      </c>
    </row>
    <row r="19" spans="1:15" ht="15" customHeight="1" outlineLevel="1">
      <c r="A19">
        <v>2009</v>
      </c>
      <c r="B19">
        <v>4.3099999999999996</v>
      </c>
      <c r="E19" s="20" t="s">
        <v>53</v>
      </c>
      <c r="F19" s="20" t="s">
        <v>54</v>
      </c>
      <c r="G19" s="20" t="s">
        <v>63</v>
      </c>
      <c r="H19" s="20" t="s">
        <v>71</v>
      </c>
      <c r="I19" s="20" t="s">
        <v>55</v>
      </c>
      <c r="J19" s="20" t="s">
        <v>56</v>
      </c>
      <c r="K19" s="20" t="s">
        <v>61</v>
      </c>
    </row>
    <row r="20" spans="1:15" ht="15" customHeight="1" outlineLevel="1">
      <c r="A20">
        <v>2010</v>
      </c>
      <c r="B20">
        <v>5.91</v>
      </c>
      <c r="D20" s="11" t="s">
        <v>74</v>
      </c>
      <c r="E20" s="11">
        <v>100</v>
      </c>
      <c r="F20" s="21">
        <f>30918*(E20/K20)^0.8103*2.3</f>
        <v>138768.88693816186</v>
      </c>
      <c r="G20" s="11">
        <v>2005</v>
      </c>
      <c r="H20" s="26" cm="1">
        <f t="array" ref="H20" xml:space="preserve"> F20 * PRODUCT(1 + INDEX($B$5:$B$62,MATCH(G20+1,$A$5:$A$62,0)):INDEX($B$5:$B$62,MATCH(2025,$A$5:$A$62,0))/100)</f>
        <v>346116.60799317475</v>
      </c>
      <c r="I20" s="27" t="s">
        <v>76</v>
      </c>
      <c r="J20" s="11" t="s">
        <v>83</v>
      </c>
      <c r="K20" s="23">
        <v>43.82</v>
      </c>
      <c r="L20" s="11" t="s">
        <v>62</v>
      </c>
      <c r="M20" s="11" t="s">
        <v>70</v>
      </c>
      <c r="O20" s="11" t="s">
        <v>89</v>
      </c>
    </row>
    <row r="21" spans="1:15" ht="15" customHeight="1" outlineLevel="1">
      <c r="D21" s="11" t="s">
        <v>74</v>
      </c>
      <c r="E21" s="11">
        <v>100</v>
      </c>
      <c r="F21" s="24">
        <f>1809/27.8*1000*E21</f>
        <v>6507194.2446043165</v>
      </c>
      <c r="G21" s="11">
        <v>2024</v>
      </c>
      <c r="H21" s="26" cm="1">
        <f t="array" ref="H21" xml:space="preserve"> F21 * PRODUCT(1 + INDEX($B$5:$B$62,MATCH(G21+1,$A$5:$A$62,0)):INDEX($B$5:$B$62,MATCH(2025,$A$5:$A$62,0))/100)</f>
        <v>6824094.6043165466</v>
      </c>
      <c r="I21" s="29" t="s">
        <v>88</v>
      </c>
    </row>
    <row r="22" spans="1:15" ht="15" customHeight="1" outlineLevel="1">
      <c r="A22">
        <v>2011</v>
      </c>
      <c r="B22">
        <v>6.5</v>
      </c>
      <c r="D22" s="11" t="s">
        <v>87</v>
      </c>
      <c r="E22" s="11">
        <v>100</v>
      </c>
      <c r="F22" s="21">
        <f>(7500*E22/K22/2+90000*E22/K22/2)*2.3</f>
        <v>255876.31218621632</v>
      </c>
      <c r="G22" s="11">
        <v>2005</v>
      </c>
      <c r="H22" s="26" cm="1">
        <f t="array" ref="H22" xml:space="preserve"> F22 * PRODUCT(1 + INDEX($B$5:$B$62,MATCH(G22+1,$A$5:$A$62,0)):INDEX($B$5:$B$62,MATCH(2025,$A$5:$A$62,0))/100)</f>
        <v>638205.31528195704</v>
      </c>
      <c r="I22" s="27" t="s">
        <v>76</v>
      </c>
      <c r="J22" s="11" t="s">
        <v>85</v>
      </c>
      <c r="K22" s="23">
        <v>43.82</v>
      </c>
      <c r="L22" s="11" t="s">
        <v>62</v>
      </c>
      <c r="M22" s="11" t="s">
        <v>70</v>
      </c>
    </row>
    <row r="23" spans="1:15" ht="15" customHeight="1" outlineLevel="1">
      <c r="A23">
        <v>2012</v>
      </c>
      <c r="B23">
        <v>5.84</v>
      </c>
      <c r="D23" s="11" t="s">
        <v>7</v>
      </c>
      <c r="E23" s="11">
        <v>100</v>
      </c>
      <c r="F23" s="24">
        <f>2204/27.8*1000*E23</f>
        <v>7928057.5539568355</v>
      </c>
      <c r="G23" s="11">
        <v>2024</v>
      </c>
      <c r="H23" s="26" cm="1">
        <f t="array" ref="H23" xml:space="preserve"> F23 * PRODUCT(1 + INDEX($B$5:$B$62,MATCH(G23+1,$A$5:$A$62,0)):INDEX($B$5:$B$62,MATCH(2025,$A$5:$A$62,0))/100)</f>
        <v>8314153.9568345333</v>
      </c>
      <c r="I23" s="29" t="s">
        <v>88</v>
      </c>
    </row>
    <row r="24" spans="1:15" ht="15" customHeight="1" outlineLevel="1">
      <c r="F24" s="24"/>
      <c r="H24" s="30"/>
      <c r="I24" s="29"/>
    </row>
    <row r="25" spans="1:15" ht="15" customHeight="1" outlineLevel="1">
      <c r="D25" s="19" t="s">
        <v>142</v>
      </c>
      <c r="E25" s="20" t="s">
        <v>53</v>
      </c>
      <c r="F25" s="20" t="s">
        <v>54</v>
      </c>
      <c r="G25" s="20" t="s">
        <v>63</v>
      </c>
      <c r="H25" s="20" t="s">
        <v>71</v>
      </c>
      <c r="I25" s="20" t="s">
        <v>143</v>
      </c>
      <c r="J25" s="20" t="s">
        <v>55</v>
      </c>
    </row>
    <row r="26" spans="1:15" ht="15" customHeight="1" outlineLevel="1">
      <c r="E26" s="11">
        <v>100</v>
      </c>
      <c r="F26" s="21">
        <f>F11+F20+F22</f>
        <v>2983361.7763037481</v>
      </c>
      <c r="G26" s="11">
        <v>2005</v>
      </c>
      <c r="H26" s="26" cm="1">
        <f t="array" ref="H26" xml:space="preserve"> F26 * PRODUCT(1 + INDEX($B$5:$B$62,MATCH(G26+1,$A$5:$A$62,0)):INDEX($B$5:$B$62,MATCH(2025,$A$5:$A$62,0))/100)</f>
        <v>7441084.8224997921</v>
      </c>
      <c r="I26" s="30">
        <f>H26/E26</f>
        <v>74410.848224997928</v>
      </c>
      <c r="J26" s="27" t="s">
        <v>76</v>
      </c>
    </row>
    <row r="27" spans="1:15" ht="15" customHeight="1" outlineLevel="1">
      <c r="A27">
        <v>2013</v>
      </c>
      <c r="B27">
        <v>5.91</v>
      </c>
      <c r="E27" s="11">
        <v>100</v>
      </c>
      <c r="F27" s="30">
        <f>F15+F21</f>
        <v>12453237.410071943</v>
      </c>
      <c r="G27" s="11">
        <v>2024</v>
      </c>
      <c r="H27" s="26" cm="1">
        <f t="array" ref="H27" xml:space="preserve"> F27 * PRODUCT(1 + INDEX($B$5:$B$62,MATCH(G27+1,$A$5:$A$62,0)):INDEX($B$5:$B$62,MATCH(2025,$A$5:$A$62,0))/100)</f>
        <v>13059710.071942447</v>
      </c>
      <c r="I27" s="30">
        <f>H27/E27</f>
        <v>130597.10071942447</v>
      </c>
      <c r="J27" s="29" t="s">
        <v>88</v>
      </c>
    </row>
    <row r="28" spans="1:15" ht="15" customHeight="1" outlineLevel="1">
      <c r="F28" s="30"/>
      <c r="H28" s="26"/>
      <c r="I28" s="29"/>
    </row>
    <row r="29" spans="1:15" ht="15" customHeight="1" outlineLevel="1">
      <c r="F29" s="30"/>
      <c r="H29" s="26"/>
      <c r="I29" s="29"/>
    </row>
    <row r="30" spans="1:15" ht="15" customHeight="1" outlineLevel="1">
      <c r="A30">
        <v>2016</v>
      </c>
      <c r="B30">
        <v>6.29</v>
      </c>
    </row>
    <row r="31" spans="1:15" ht="15" customHeight="1" outlineLevel="1">
      <c r="A31">
        <v>2017</v>
      </c>
      <c r="B31">
        <v>2.95</v>
      </c>
      <c r="D31" s="11" t="s">
        <v>78</v>
      </c>
      <c r="E31" s="20" t="s">
        <v>82</v>
      </c>
      <c r="F31" s="20" t="s">
        <v>81</v>
      </c>
      <c r="G31" s="20" t="s">
        <v>63</v>
      </c>
    </row>
    <row r="32" spans="1:15" ht="15" customHeight="1" outlineLevel="1">
      <c r="A32">
        <v>2018</v>
      </c>
      <c r="B32">
        <v>3.75</v>
      </c>
      <c r="D32" s="11" t="s">
        <v>75</v>
      </c>
      <c r="E32" s="11" t="s">
        <v>79</v>
      </c>
      <c r="F32" s="11" t="s">
        <v>80</v>
      </c>
      <c r="G32" s="11">
        <v>1997</v>
      </c>
    </row>
    <row r="33" spans="1:15" ht="15" customHeight="1"/>
    <row r="34" spans="1:15" ht="15" customHeight="1"/>
    <row r="35" spans="1:15" ht="15" customHeight="1">
      <c r="D35" s="156" t="s">
        <v>252</v>
      </c>
    </row>
    <row r="36" spans="1:15" ht="15" customHeight="1">
      <c r="D36" s="156"/>
    </row>
    <row r="37" spans="1:15" ht="15" customHeight="1">
      <c r="D37" s="160" t="s">
        <v>360</v>
      </c>
      <c r="E37" s="224">
        <v>1.2</v>
      </c>
      <c r="F37" s="224">
        <v>1.2</v>
      </c>
      <c r="G37" s="161">
        <v>1.2</v>
      </c>
      <c r="H37" s="161">
        <v>1.2</v>
      </c>
      <c r="I37" s="161">
        <v>1.2</v>
      </c>
    </row>
    <row r="38" spans="1:15" ht="15" customHeight="1">
      <c r="D38" s="165" t="s">
        <v>359</v>
      </c>
      <c r="E38" s="225" t="s">
        <v>321</v>
      </c>
      <c r="F38" s="225" t="s">
        <v>362</v>
      </c>
      <c r="G38" s="225" t="s">
        <v>363</v>
      </c>
      <c r="H38" s="225" t="s">
        <v>364</v>
      </c>
      <c r="I38" s="225" t="s">
        <v>322</v>
      </c>
    </row>
    <row r="39" spans="1:15" ht="15" customHeight="1">
      <c r="D39" s="165" t="s">
        <v>274</v>
      </c>
      <c r="E39" s="162">
        <f>MAX('Premissas e Cálculos'!F184:AJ184)*1000/(365*24*3600)*1.2*1.5</f>
        <v>100.73527397260273</v>
      </c>
      <c r="F39" s="162">
        <f>MAX('Premissas e Cálculos'!F185:AJ185)*1000/(365*24*3600)*1.2*1.5</f>
        <v>0</v>
      </c>
      <c r="G39" s="162">
        <f>MAX('Premissas e Cálculos'!F186:AJ186)*1000/(365*24*3600)*1.2*1.5</f>
        <v>167.89212328767121</v>
      </c>
      <c r="H39" s="162">
        <f>MAX('Premissas e Cálculos'!F187:AJ187)*1000/(365*24*3600)*1.2*1.5</f>
        <v>78.349657534246575</v>
      </c>
      <c r="I39" s="162">
        <f>MAX('Premissas e Cálculos'!F188:AJ188)*1000/(365*24*3600)*1.2*1.5</f>
        <v>55.964041095890408</v>
      </c>
    </row>
    <row r="40" spans="1:15" s="11" customFormat="1" ht="15" customHeight="1">
      <c r="D40" s="165" t="s">
        <v>268</v>
      </c>
      <c r="E40" s="226">
        <f>E39/1000</f>
        <v>0.10073527397260272</v>
      </c>
      <c r="F40" s="226">
        <f t="shared" ref="F40:I40" si="0">F39/1000</f>
        <v>0</v>
      </c>
      <c r="G40" s="226">
        <f t="shared" si="0"/>
        <v>0.16789212328767122</v>
      </c>
      <c r="H40" s="226">
        <f t="shared" si="0"/>
        <v>7.8349657534246581E-2</v>
      </c>
      <c r="I40" s="226">
        <f t="shared" si="0"/>
        <v>5.5964041095890406E-2</v>
      </c>
    </row>
    <row r="41" spans="1:15" s="11" customFormat="1" ht="15" customHeight="1">
      <c r="D41" s="165" t="s">
        <v>269</v>
      </c>
      <c r="E41" s="163" t="s">
        <v>365</v>
      </c>
      <c r="F41" s="163" t="s">
        <v>365</v>
      </c>
      <c r="G41" s="163" t="s">
        <v>365</v>
      </c>
      <c r="H41" s="163" t="s">
        <v>365</v>
      </c>
      <c r="I41" s="163" t="s">
        <v>365</v>
      </c>
    </row>
    <row r="42" spans="1:15" s="11" customFormat="1" ht="29.1" customHeight="1">
      <c r="D42" s="165" t="s">
        <v>270</v>
      </c>
      <c r="E42" s="164">
        <f>SQRT(4*E40/($E$37*PI()))*1000</f>
        <v>326.93033708988702</v>
      </c>
      <c r="F42" s="164">
        <f t="shared" ref="F42:I42" si="1">SQRT(4*F40/($E$37*PI()))*1000</f>
        <v>0</v>
      </c>
      <c r="G42" s="164">
        <f t="shared" si="1"/>
        <v>422.06525030636982</v>
      </c>
      <c r="H42" s="164">
        <f t="shared" si="1"/>
        <v>288.32545599411907</v>
      </c>
      <c r="I42" s="164">
        <f t="shared" si="1"/>
        <v>243.67948587996938</v>
      </c>
    </row>
    <row r="43" spans="1:15" ht="15" customHeight="1">
      <c r="D43" s="165" t="s">
        <v>272</v>
      </c>
      <c r="E43" s="161" cm="1">
        <f t="array" ref="E43">INDEX($D$48:$D$53,MATCH(MIN(IF($D$48:$D$53&gt;=E42,$D$48:$D$53)),$D$48:$D$53,0))</f>
        <v>400</v>
      </c>
      <c r="F43" s="161" cm="1">
        <f t="array" ref="F43">INDEX($D$48:$D$53,MATCH(MIN(IF($D$48:$D$53&gt;=F42,$D$48:$D$53)),$D$48:$D$53,0))</f>
        <v>100</v>
      </c>
      <c r="G43" s="161" cm="1">
        <f t="array" ref="G43">INDEX($D$48:$D$53,MATCH(MIN(IF($D$48:$D$53&gt;=G42,$D$48:$D$53)),$D$48:$D$53,0))</f>
        <v>500</v>
      </c>
      <c r="H43" s="161" cm="1">
        <f t="array" ref="H43">INDEX($D$48:$D$53,MATCH(MIN(IF($D$48:$D$53&gt;=H42,$D$48:$D$53)),$D$48:$D$53,0))</f>
        <v>300</v>
      </c>
      <c r="I43" s="161" cm="1">
        <f t="array" ref="I43">INDEX($D$48:$D$53,MATCH(MIN(IF($D$48:$D$53&gt;=I42,$D$48:$D$53)),$D$48:$D$53,0))</f>
        <v>300</v>
      </c>
      <c r="N43" s="11"/>
    </row>
    <row r="44" spans="1:15" ht="15.95" customHeight="1">
      <c r="D44" s="20" t="s">
        <v>361</v>
      </c>
      <c r="E44" s="161">
        <f>INDEX($I$48:$I$53,MATCH(E43,$D$48:$D$53,-1))</f>
        <v>2276.2012525999999</v>
      </c>
      <c r="F44" s="161">
        <f t="shared" ref="F44:I44" si="2">INDEX($I$48:$I$53,MATCH(F43,$D$48:$D$53,-1))</f>
        <v>477.33839238461536</v>
      </c>
      <c r="G44" s="161">
        <f t="shared" si="2"/>
        <v>4927.5780763000002</v>
      </c>
      <c r="H44" s="161">
        <f t="shared" si="2"/>
        <v>1185.7546030000003</v>
      </c>
      <c r="I44" s="161">
        <f t="shared" si="2"/>
        <v>1185.7546030000003</v>
      </c>
      <c r="N44" s="11"/>
    </row>
    <row r="45" spans="1:15" ht="15" customHeight="1">
      <c r="A45">
        <v>2019</v>
      </c>
      <c r="B45">
        <v>4.3099999999999996</v>
      </c>
      <c r="E45" s="23"/>
    </row>
    <row r="46" spans="1:15" ht="15" customHeight="1">
      <c r="D46" s="19" t="s">
        <v>356</v>
      </c>
      <c r="F46" s="23"/>
      <c r="K46" s="19" t="s">
        <v>358</v>
      </c>
      <c r="L46" s="23"/>
      <c r="N46" s="11"/>
      <c r="O46" s="11"/>
    </row>
    <row r="47" spans="1:15" ht="15" customHeight="1">
      <c r="D47" s="13" t="s">
        <v>357</v>
      </c>
      <c r="E47" s="20" t="s">
        <v>528</v>
      </c>
      <c r="F47" s="20" t="s">
        <v>527</v>
      </c>
      <c r="G47" s="20" t="s">
        <v>81</v>
      </c>
      <c r="H47" s="20" t="s">
        <v>63</v>
      </c>
      <c r="I47" s="20" t="s">
        <v>71</v>
      </c>
      <c r="K47" s="13" t="s">
        <v>357</v>
      </c>
      <c r="L47" s="20" t="s">
        <v>154</v>
      </c>
      <c r="M47" s="20" t="s">
        <v>81</v>
      </c>
      <c r="N47" s="20" t="s">
        <v>63</v>
      </c>
      <c r="O47" s="20" t="s">
        <v>71</v>
      </c>
    </row>
    <row r="48" spans="1:15" s="134" customFormat="1" ht="15" customHeight="1">
      <c r="D48" s="229">
        <v>500</v>
      </c>
      <c r="E48" s="230">
        <v>4271.59</v>
      </c>
      <c r="F48" s="267">
        <f>1.1*E48</f>
        <v>4698.7490000000007</v>
      </c>
      <c r="G48" s="23" t="s">
        <v>153</v>
      </c>
      <c r="H48" s="23">
        <v>2024</v>
      </c>
      <c r="I48" s="26" cm="1">
        <f t="array" ref="I48" xml:space="preserve"> F48 * PRODUCT(1 + INDEX($B$5:$B$62,MATCH(H48+1,$A$5:$A$62,0)):INDEX($B$5:$B$62,MATCH(2025,$A$5:$A$62,0))/100)</f>
        <v>4927.5780763000002</v>
      </c>
      <c r="J48" s="63"/>
      <c r="K48" s="230">
        <v>500</v>
      </c>
      <c r="L48" s="230">
        <v>3988.55</v>
      </c>
      <c r="M48" s="23" t="s">
        <v>153</v>
      </c>
      <c r="N48" s="23">
        <v>2024</v>
      </c>
      <c r="O48" s="230"/>
    </row>
    <row r="49" spans="1:15" ht="15" customHeight="1">
      <c r="D49" s="23">
        <v>400</v>
      </c>
      <c r="E49" s="23">
        <v>1973.18</v>
      </c>
      <c r="F49" s="267">
        <f t="shared" ref="F49:F53" si="3">1.1*E49</f>
        <v>2170.498</v>
      </c>
      <c r="G49" s="23" t="s">
        <v>153</v>
      </c>
      <c r="H49" s="23">
        <v>2024</v>
      </c>
      <c r="I49" s="26" cm="1">
        <f t="array" ref="I49" xml:space="preserve"> F49 * PRODUCT(1 + INDEX($B$5:$B$62,MATCH(H49+1,$A$5:$A$62,0)):INDEX($B$5:$B$62,MATCH(2025,$A$5:$A$62,0))/100)</f>
        <v>2276.2012525999999</v>
      </c>
      <c r="K49" s="23">
        <v>400</v>
      </c>
      <c r="L49" s="23">
        <v>1721.69</v>
      </c>
      <c r="M49" s="23" t="s">
        <v>153</v>
      </c>
      <c r="N49" s="23">
        <v>2024</v>
      </c>
      <c r="O49" s="26"/>
    </row>
    <row r="50" spans="1:15" ht="15" customHeight="1">
      <c r="A50">
        <v>2020</v>
      </c>
      <c r="B50">
        <v>4.5199999999999996</v>
      </c>
      <c r="C50">
        <f>F50/F51</f>
        <v>1.5204721614105678</v>
      </c>
      <c r="D50" s="23">
        <v>300</v>
      </c>
      <c r="E50" s="23">
        <v>1027.9000000000001</v>
      </c>
      <c r="F50" s="267">
        <f t="shared" si="3"/>
        <v>1130.6900000000003</v>
      </c>
      <c r="G50" s="23" t="s">
        <v>153</v>
      </c>
      <c r="H50" s="23">
        <v>2024</v>
      </c>
      <c r="I50" s="26" cm="1">
        <f t="array" ref="I50" xml:space="preserve"> F50 * PRODUCT(1 + INDEX($B$5:$B$62,MATCH(H50+1,$A$5:$A$62,0)):INDEX($B$5:$B$62,MATCH(2025,$A$5:$A$62,0))/100)</f>
        <v>1185.7546030000003</v>
      </c>
      <c r="K50" s="23">
        <v>300</v>
      </c>
      <c r="L50" s="23">
        <v>824.02</v>
      </c>
      <c r="M50" s="23" t="s">
        <v>153</v>
      </c>
      <c r="N50" s="23">
        <v>2024</v>
      </c>
      <c r="O50" s="11"/>
    </row>
    <row r="51" spans="1:15" ht="15" customHeight="1">
      <c r="C51">
        <f>F51/F52</f>
        <v>1.2567434424553381</v>
      </c>
      <c r="D51" s="23">
        <v>200</v>
      </c>
      <c r="E51" s="23">
        <v>676.04</v>
      </c>
      <c r="F51" s="267">
        <f t="shared" si="3"/>
        <v>743.64400000000001</v>
      </c>
      <c r="G51" s="23" t="s">
        <v>153</v>
      </c>
      <c r="H51" s="23">
        <v>2024</v>
      </c>
      <c r="I51" s="26" cm="1">
        <f t="array" ref="I51" xml:space="preserve"> F51 * PRODUCT(1 + INDEX($B$5:$B$62,MATCH(H51+1,$A$5:$A$62,0)):INDEX($B$5:$B$62,MATCH(2025,$A$5:$A$62,0))/100)</f>
        <v>779.85946279999996</v>
      </c>
      <c r="K51" s="23">
        <v>200</v>
      </c>
      <c r="L51" s="23">
        <v>477.2</v>
      </c>
      <c r="M51" s="23" t="s">
        <v>153</v>
      </c>
      <c r="N51" s="23">
        <v>2024</v>
      </c>
      <c r="O51" s="11"/>
    </row>
    <row r="52" spans="1:15" ht="15" customHeight="1">
      <c r="D52" s="23">
        <v>150</v>
      </c>
      <c r="E52" s="23">
        <v>537.92999999999995</v>
      </c>
      <c r="F52" s="267">
        <f t="shared" si="3"/>
        <v>591.72299999999996</v>
      </c>
      <c r="G52" s="23" t="s">
        <v>153</v>
      </c>
      <c r="H52" s="23">
        <v>2024</v>
      </c>
      <c r="I52" s="26" cm="1">
        <f t="array" ref="I52" xml:space="preserve"> F52 * PRODUCT(1 + INDEX($B$5:$B$62,MATCH(H52+1,$A$5:$A$62,0)):INDEX($B$5:$B$62,MATCH(2025,$A$5:$A$62,0))/100)</f>
        <v>620.53991009999993</v>
      </c>
      <c r="K52" s="23">
        <v>150</v>
      </c>
      <c r="L52" s="23">
        <v>354.02</v>
      </c>
      <c r="M52" s="23" t="s">
        <v>153</v>
      </c>
      <c r="N52" s="23">
        <v>2024</v>
      </c>
      <c r="O52" s="11"/>
    </row>
    <row r="53" spans="1:15" ht="15" customHeight="1">
      <c r="D53" s="23">
        <v>100</v>
      </c>
      <c r="E53" s="223">
        <f>E52/1.3</f>
        <v>413.79230769230765</v>
      </c>
      <c r="F53" s="267">
        <f t="shared" si="3"/>
        <v>455.17153846153843</v>
      </c>
      <c r="G53" s="23" t="s">
        <v>153</v>
      </c>
      <c r="H53" s="23">
        <v>2024</v>
      </c>
      <c r="I53" s="26" cm="1">
        <f t="array" ref="I53" xml:space="preserve"> F53 * PRODUCT(1 + INDEX($B$5:$B$62,MATCH(H53+1,$A$5:$A$62,0)):INDEX($B$5:$B$62,MATCH(2025,$A$5:$A$62,0))/100)</f>
        <v>477.33839238461536</v>
      </c>
      <c r="K53" s="23">
        <v>100</v>
      </c>
      <c r="L53" s="222">
        <f>L52/1.5</f>
        <v>236.01333333333332</v>
      </c>
      <c r="M53" s="23" t="s">
        <v>153</v>
      </c>
      <c r="N53" s="23">
        <v>2024</v>
      </c>
      <c r="O53" s="11"/>
    </row>
    <row r="54" spans="1:15" ht="15" customHeight="1">
      <c r="N54" s="11"/>
    </row>
    <row r="56" spans="1:15" ht="15" customHeight="1">
      <c r="A56">
        <v>2021</v>
      </c>
      <c r="B56">
        <v>10.06</v>
      </c>
    </row>
    <row r="57" spans="1:15" ht="15" customHeight="1" thickBot="1">
      <c r="A57">
        <v>2022</v>
      </c>
      <c r="B57">
        <v>5.79</v>
      </c>
      <c r="C57" s="31"/>
      <c r="D57" s="32" t="s">
        <v>219</v>
      </c>
      <c r="E57" s="33"/>
      <c r="F57" s="33"/>
      <c r="G57" s="33"/>
      <c r="H57" s="33"/>
      <c r="I57" s="33"/>
      <c r="J57" s="33"/>
      <c r="K57" s="33"/>
      <c r="L57" s="33"/>
      <c r="M57" s="33"/>
      <c r="N57" s="34"/>
      <c r="O57" s="31"/>
    </row>
    <row r="58" spans="1:15" ht="15" customHeight="1">
      <c r="D58" s="19"/>
    </row>
    <row r="59" spans="1:15" ht="15" customHeight="1" outlineLevel="1">
      <c r="D59" s="155" t="s">
        <v>253</v>
      </c>
    </row>
    <row r="60" spans="1:15" ht="15" customHeight="1" outlineLevel="1">
      <c r="A60">
        <v>2023</v>
      </c>
      <c r="B60">
        <v>4.62</v>
      </c>
      <c r="E60" s="20" t="s">
        <v>53</v>
      </c>
      <c r="F60" s="20" t="s">
        <v>95</v>
      </c>
      <c r="G60" s="20" t="s">
        <v>144</v>
      </c>
      <c r="H60" s="20" t="s">
        <v>63</v>
      </c>
      <c r="I60" s="20" t="s">
        <v>71</v>
      </c>
      <c r="J60" s="20" t="s">
        <v>55</v>
      </c>
      <c r="K60" s="20" t="s">
        <v>56</v>
      </c>
      <c r="L60" s="20" t="s">
        <v>61</v>
      </c>
      <c r="N60" s="11"/>
      <c r="O60" s="18"/>
    </row>
    <row r="61" spans="1:15" ht="15" customHeight="1" outlineLevel="1">
      <c r="A61">
        <v>2024</v>
      </c>
      <c r="B61">
        <v>4.83</v>
      </c>
      <c r="D61" s="11" t="s">
        <v>58</v>
      </c>
      <c r="E61" s="19">
        <v>100</v>
      </c>
      <c r="F61" s="35">
        <f>0.63*E61*365*24*3600/1000</f>
        <v>1986768</v>
      </c>
      <c r="G61" s="35"/>
      <c r="H61" s="19">
        <v>2019</v>
      </c>
      <c r="I61" s="36" cm="1">
        <f t="array" ref="I61" xml:space="preserve"> F61 * PRODUCT(1 + INDEX($B$5:$B$62,MATCH(H61+1,$A$5:$A$62,0)):INDEX($B$5:$B$62,MATCH(2025,$A$5:$A$62,0))/100)</f>
        <v>2780815.9933673795</v>
      </c>
      <c r="J61" s="27" t="s">
        <v>59</v>
      </c>
      <c r="N61" s="11"/>
      <c r="O61" s="18"/>
    </row>
    <row r="62" spans="1:15" ht="15" customHeight="1" outlineLevel="1">
      <c r="A62">
        <v>2025</v>
      </c>
      <c r="B62">
        <v>4.87</v>
      </c>
      <c r="D62" s="37" t="s">
        <v>90</v>
      </c>
      <c r="F62" s="21">
        <f>14%*$F$61</f>
        <v>278147.52</v>
      </c>
      <c r="G62" s="21">
        <f>F62/($E$61*3600*24*365/1000)</f>
        <v>8.8200000000000001E-2</v>
      </c>
      <c r="H62" s="11">
        <v>2019</v>
      </c>
      <c r="I62" s="26" cm="1">
        <f t="array" ref="I62" xml:space="preserve"> F62 * PRODUCT(1 + INDEX($B$5:$B$62,MATCH(H62+1,$A$5:$A$62,0)):INDEX($B$5:$B$62,MATCH(2025,$A$5:$A$62,0))/100)</f>
        <v>389314.23907143314</v>
      </c>
      <c r="J62" s="27"/>
      <c r="N62" s="11"/>
      <c r="O62" s="18"/>
    </row>
    <row r="63" spans="1:15" ht="15" customHeight="1" outlineLevel="1">
      <c r="D63" s="37" t="s">
        <v>10</v>
      </c>
      <c r="F63" s="21">
        <v>0</v>
      </c>
      <c r="G63" s="21">
        <f t="shared" ref="G63:G66" si="4">F63/($E$61*3600*24*365/1000)</f>
        <v>0</v>
      </c>
      <c r="H63" s="11">
        <v>2019</v>
      </c>
      <c r="I63" s="26" cm="1">
        <f t="array" ref="I63" xml:space="preserve"> F63 * PRODUCT(1 + INDEX($B$5:$B$62,MATCH(H63+1,$A$5:$A$62,0)):INDEX($B$5:$B$62,MATCH(2025,$A$5:$A$62,0))/100)</f>
        <v>0</v>
      </c>
      <c r="J63" s="27"/>
      <c r="N63" s="11"/>
      <c r="O63" s="18"/>
    </row>
    <row r="64" spans="1:15" ht="15" customHeight="1" outlineLevel="1">
      <c r="D64" s="37" t="s">
        <v>92</v>
      </c>
      <c r="F64" s="21">
        <f>28%*$F$61</f>
        <v>556295.04</v>
      </c>
      <c r="G64" s="21">
        <f t="shared" si="4"/>
        <v>0.1764</v>
      </c>
      <c r="H64" s="11">
        <v>2019</v>
      </c>
      <c r="I64" s="26" cm="1">
        <f t="array" ref="I64" xml:space="preserve"> F64 * PRODUCT(1 + INDEX($B$5:$B$62,MATCH(H64+1,$A$5:$A$62,0)):INDEX($B$5:$B$62,MATCH(2025,$A$5:$A$62,0))/100)</f>
        <v>778628.47814286628</v>
      </c>
      <c r="J64" s="27"/>
      <c r="N64" s="11"/>
      <c r="O64" s="18"/>
    </row>
    <row r="65" spans="4:15" ht="15" customHeight="1" outlineLevel="1">
      <c r="D65" s="37" t="s">
        <v>91</v>
      </c>
      <c r="F65" s="21">
        <f>46%*$F$61</f>
        <v>913913.28</v>
      </c>
      <c r="G65" s="21">
        <f t="shared" si="4"/>
        <v>0.2898</v>
      </c>
      <c r="H65" s="11">
        <v>2019</v>
      </c>
      <c r="I65" s="26" cm="1">
        <f t="array" ref="I65" xml:space="preserve"> F65 * PRODUCT(1 + INDEX($B$5:$B$62,MATCH(H65+1,$A$5:$A$62,0)):INDEX($B$5:$B$62,MATCH(2025,$A$5:$A$62,0))/100)</f>
        <v>1279175.3569489946</v>
      </c>
      <c r="J65" s="27"/>
      <c r="N65" s="11"/>
      <c r="O65" s="18"/>
    </row>
    <row r="66" spans="4:15" ht="15" customHeight="1" outlineLevel="1">
      <c r="D66" s="37" t="s">
        <v>93</v>
      </c>
      <c r="F66" s="21">
        <f>12%*$F$61</f>
        <v>238412.16</v>
      </c>
      <c r="G66" s="21">
        <f t="shared" si="4"/>
        <v>7.5600000000000001E-2</v>
      </c>
      <c r="H66" s="11">
        <v>2019</v>
      </c>
      <c r="I66" s="26" cm="1">
        <f t="array" ref="I66" xml:space="preserve"> F66 * PRODUCT(1 + INDEX($B$5:$B$62,MATCH(H66+1,$A$5:$A$62,0)):INDEX($B$5:$B$62,MATCH(2025,$A$5:$A$62,0))/100)</f>
        <v>333697.91920408554</v>
      </c>
      <c r="J66" s="27"/>
      <c r="N66" s="11"/>
      <c r="O66" s="18"/>
    </row>
    <row r="67" spans="4:15" ht="15" customHeight="1" outlineLevel="1">
      <c r="D67" s="40" t="s">
        <v>8</v>
      </c>
      <c r="F67" s="35">
        <f>F61/($E$61*3600*24*365/1000)</f>
        <v>0.63</v>
      </c>
      <c r="G67" s="35"/>
      <c r="I67" s="35">
        <f>I61/($E$61*3600*24*365/1000)</f>
        <v>0.88179096694805292</v>
      </c>
      <c r="J67" s="27"/>
      <c r="N67" s="11"/>
      <c r="O67" s="18"/>
    </row>
    <row r="68" spans="4:15" ht="15" customHeight="1" outlineLevel="1">
      <c r="D68" s="37"/>
      <c r="F68" s="21"/>
      <c r="G68" s="21"/>
      <c r="I68" s="26"/>
      <c r="J68" s="27"/>
      <c r="N68" s="11"/>
      <c r="O68" s="18"/>
    </row>
    <row r="69" spans="4:15" ht="15" customHeight="1" outlineLevel="1">
      <c r="D69" s="11" t="s">
        <v>51</v>
      </c>
      <c r="E69" s="19">
        <v>100</v>
      </c>
      <c r="F69" s="35">
        <f>0.4*3*E69*365*24*3600/1000</f>
        <v>3784320.0000000009</v>
      </c>
      <c r="G69" s="35"/>
      <c r="H69" s="19">
        <v>2017</v>
      </c>
      <c r="I69" s="36" cm="1">
        <f t="array" ref="I69" xml:space="preserve"> F69 * PRODUCT(1 + INDEX($B$5:$B$62,MATCH(H69+1,$A$5:$A$62,0)):INDEX($B$5:$B$62,MATCH(2025,$A$5:$A$62,0))/100)</f>
        <v>5732274.7738706134</v>
      </c>
      <c r="J69" s="27" t="s">
        <v>59</v>
      </c>
      <c r="K69" s="11" t="s">
        <v>94</v>
      </c>
      <c r="M69" s="11" t="s">
        <v>96</v>
      </c>
      <c r="N69" s="11"/>
      <c r="O69" s="18"/>
    </row>
    <row r="70" spans="4:15" ht="15" customHeight="1" outlineLevel="1">
      <c r="D70" s="37" t="s">
        <v>90</v>
      </c>
      <c r="F70" s="21">
        <f>28%*$F$69</f>
        <v>1059609.6000000003</v>
      </c>
      <c r="G70" s="21">
        <f>F70/($E$61*3600*24*365/1000)</f>
        <v>0.33600000000000008</v>
      </c>
      <c r="H70" s="11">
        <v>2017</v>
      </c>
      <c r="I70" s="26" cm="1">
        <f t="array" ref="I70" xml:space="preserve"> F70 * PRODUCT(1 + INDEX($B$5:$B$62,MATCH(H70+1,$A$5:$A$62,0)):INDEX($B$5:$B$62,MATCH(2025,$A$5:$A$62,0))/100)</f>
        <v>1605036.9366837719</v>
      </c>
      <c r="N70" s="11"/>
      <c r="O70" s="18"/>
    </row>
    <row r="71" spans="4:15" ht="15" customHeight="1" outlineLevel="1">
      <c r="D71" s="37" t="s">
        <v>10</v>
      </c>
      <c r="F71" s="21">
        <f>3%*$F$69</f>
        <v>113529.60000000002</v>
      </c>
      <c r="G71" s="21">
        <f t="shared" ref="G71:G75" si="5">F71/($E$61*3600*24*365/1000)</f>
        <v>3.6000000000000004E-2</v>
      </c>
      <c r="H71" s="11">
        <v>2017</v>
      </c>
      <c r="I71" s="26" cm="1">
        <f t="array" ref="I71" xml:space="preserve"> F71 * PRODUCT(1 + INDEX($B$5:$B$62,MATCH(H71+1,$A$5:$A$62,0)):INDEX($B$5:$B$62,MATCH(2025,$A$5:$A$62,0))/100)</f>
        <v>171968.2432161184</v>
      </c>
      <c r="N71" s="11"/>
      <c r="O71" s="18"/>
    </row>
    <row r="72" spans="4:15" ht="15" customHeight="1" outlineLevel="1">
      <c r="D72" s="37" t="s">
        <v>92</v>
      </c>
      <c r="F72" s="21">
        <f>1%*$F$69</f>
        <v>37843.200000000012</v>
      </c>
      <c r="G72" s="21">
        <f t="shared" si="5"/>
        <v>1.2000000000000004E-2</v>
      </c>
      <c r="H72" s="11">
        <v>2017</v>
      </c>
      <c r="I72" s="26" cm="1">
        <f t="array" ref="I72" xml:space="preserve"> F72 * PRODUCT(1 + INDEX($B$5:$B$62,MATCH(H72+1,$A$5:$A$62,0)):INDEX($B$5:$B$62,MATCH(2025,$A$5:$A$62,0))/100)</f>
        <v>57322.747738706137</v>
      </c>
      <c r="N72" s="11"/>
      <c r="O72" s="18"/>
    </row>
    <row r="73" spans="4:15" ht="15" customHeight="1" outlineLevel="1">
      <c r="D73" s="37" t="s">
        <v>91</v>
      </c>
      <c r="F73" s="21">
        <f>41%*$F$69</f>
        <v>1551571.2000000002</v>
      </c>
      <c r="G73" s="21">
        <f t="shared" si="5"/>
        <v>0.49200000000000005</v>
      </c>
      <c r="H73" s="11">
        <v>2017</v>
      </c>
      <c r="I73" s="26" cm="1">
        <f t="array" ref="I73" xml:space="preserve"> F73 * PRODUCT(1 + INDEX($B$5:$B$62,MATCH(H73+1,$A$5:$A$62,0)):INDEX($B$5:$B$62,MATCH(2025,$A$5:$A$62,0))/100)</f>
        <v>2350232.6572869513</v>
      </c>
      <c r="N73" s="11"/>
      <c r="O73" s="18"/>
    </row>
    <row r="74" spans="4:15" ht="15" customHeight="1" outlineLevel="1">
      <c r="D74" s="37" t="s">
        <v>93</v>
      </c>
      <c r="F74" s="21">
        <f>16%*$F$69</f>
        <v>605491.20000000019</v>
      </c>
      <c r="G74" s="21">
        <f t="shared" si="5"/>
        <v>0.19200000000000006</v>
      </c>
      <c r="H74" s="11">
        <v>2017</v>
      </c>
      <c r="I74" s="26" cm="1">
        <f t="array" ref="I74" xml:space="preserve"> F74 * PRODUCT(1 + INDEX($B$5:$B$62,MATCH(H74+1,$A$5:$A$62,0)):INDEX($B$5:$B$62,MATCH(2025,$A$5:$A$62,0))/100)</f>
        <v>917163.96381929819</v>
      </c>
      <c r="N74" s="11"/>
      <c r="O74" s="18"/>
    </row>
    <row r="75" spans="4:15" ht="15" customHeight="1" outlineLevel="1">
      <c r="D75" s="37" t="s">
        <v>97</v>
      </c>
      <c r="F75" s="21">
        <f>11%*$F$69</f>
        <v>416275.20000000013</v>
      </c>
      <c r="G75" s="21">
        <f t="shared" si="5"/>
        <v>0.13200000000000003</v>
      </c>
      <c r="H75" s="11">
        <v>2017</v>
      </c>
      <c r="I75" s="26" cm="1">
        <f t="array" ref="I75" xml:space="preserve"> F75 * PRODUCT(1 + INDEX($B$5:$B$62,MATCH(H75+1,$A$5:$A$62,0)):INDEX($B$5:$B$62,MATCH(2025,$A$5:$A$62,0))/100)</f>
        <v>630550.22512576752</v>
      </c>
      <c r="N75" s="11"/>
      <c r="O75" s="18"/>
    </row>
    <row r="76" spans="4:15" ht="15" customHeight="1" outlineLevel="1">
      <c r="D76" s="40" t="s">
        <v>8</v>
      </c>
      <c r="F76" s="35">
        <f>F69/($E$69*3600*24*365/1000)</f>
        <v>1.2000000000000004</v>
      </c>
      <c r="G76" s="35"/>
      <c r="I76" s="35">
        <f>I69/($E$69*3600*24*365/1000)</f>
        <v>1.8176924067321834</v>
      </c>
      <c r="N76" s="11"/>
      <c r="O76" s="18"/>
    </row>
    <row r="77" spans="4:15" ht="15" customHeight="1" outlineLevel="1">
      <c r="D77" s="11" t="s">
        <v>51</v>
      </c>
      <c r="E77" s="19">
        <v>100</v>
      </c>
      <c r="F77" s="35">
        <v>898249.44</v>
      </c>
      <c r="G77" s="35"/>
      <c r="H77" s="19">
        <v>2008</v>
      </c>
      <c r="I77" s="36" cm="1">
        <f t="array" ref="I77" xml:space="preserve"> F77 * PRODUCT(1 + INDEX($B$5:$B$62,MATCH(H77+1,$A$5:$A$62,0)):INDEX($B$5:$B$62,MATCH(2025,$A$5:$A$62,0))/100)</f>
        <v>1963605.2315535387</v>
      </c>
      <c r="J77" s="27" t="s">
        <v>57</v>
      </c>
      <c r="N77" s="11"/>
      <c r="O77" s="18"/>
    </row>
    <row r="78" spans="4:15" outlineLevel="1">
      <c r="D78" s="37" t="s">
        <v>90</v>
      </c>
      <c r="F78" s="21">
        <v>93381.6</v>
      </c>
      <c r="G78" s="21"/>
      <c r="H78" s="11">
        <v>2008</v>
      </c>
      <c r="I78" s="26" cm="1">
        <f t="array" ref="I78" xml:space="preserve"> F78 * PRODUCT(1 + INDEX($B$5:$B$62,MATCH(H78+1,$A$5:$A$62,0)):INDEX($B$5:$B$62,MATCH(2025,$A$5:$A$62,0))/100)</f>
        <v>204135.49970133012</v>
      </c>
      <c r="N78" s="11"/>
      <c r="O78" s="18"/>
    </row>
    <row r="79" spans="4:15" outlineLevel="1">
      <c r="D79" s="37" t="s">
        <v>10</v>
      </c>
      <c r="F79" s="21">
        <v>54234.77</v>
      </c>
      <c r="G79" s="21"/>
      <c r="H79" s="11">
        <v>2008</v>
      </c>
      <c r="I79" s="26" cm="1">
        <f t="array" ref="I79" xml:space="preserve"> F79 * PRODUCT(1 + INDEX($B$5:$B$62,MATCH(H79+1,$A$5:$A$62,0)):INDEX($B$5:$B$62,MATCH(2025,$A$5:$A$62,0))/100)</f>
        <v>118559.13665151065</v>
      </c>
      <c r="N79" s="11"/>
      <c r="O79" s="18"/>
    </row>
    <row r="80" spans="4:15" outlineLevel="1">
      <c r="D80" s="37" t="s">
        <v>92</v>
      </c>
      <c r="F80" s="21">
        <v>226800</v>
      </c>
      <c r="G80" s="21"/>
      <c r="H80" s="11">
        <v>2008</v>
      </c>
      <c r="I80" s="26" cm="1">
        <f t="array" ref="I80" xml:space="preserve"> F80 * PRODUCT(1 + INDEX($B$5:$B$62,MATCH(H80+1,$A$5:$A$62,0)):INDEX($B$5:$B$62,MATCH(2025,$A$5:$A$62,0))/100)</f>
        <v>495792.86853364762</v>
      </c>
      <c r="N80" s="11"/>
      <c r="O80" s="18"/>
    </row>
    <row r="81" spans="2:15" outlineLevel="1">
      <c r="D81" s="37" t="s">
        <v>91</v>
      </c>
      <c r="F81" s="21">
        <v>463038.07</v>
      </c>
      <c r="G81" s="21"/>
      <c r="H81" s="11">
        <v>2008</v>
      </c>
      <c r="I81" s="26" cm="1">
        <f t="array" ref="I81" xml:space="preserve"> F81 * PRODUCT(1 + INDEX($B$5:$B$62,MATCH(H81+1,$A$5:$A$62,0)):INDEX($B$5:$B$62,MATCH(2025,$A$5:$A$62,0))/100)</f>
        <v>1012217.693851781</v>
      </c>
      <c r="N81" s="11"/>
      <c r="O81" s="18"/>
    </row>
    <row r="82" spans="2:15" outlineLevel="1">
      <c r="D82" s="37" t="s">
        <v>93</v>
      </c>
      <c r="F82" s="21">
        <v>60795</v>
      </c>
      <c r="G82" s="21"/>
      <c r="H82" s="11">
        <v>2008</v>
      </c>
      <c r="I82" s="26" cm="1">
        <f t="array" ref="I82" xml:space="preserve"> F82 * PRODUCT(1 + INDEX($B$5:$B$62,MATCH(H82+1,$A$5:$A$62,0)):INDEX($B$5:$B$62,MATCH(2025,$A$5:$A$62,0))/100)</f>
        <v>132900.03281526943</v>
      </c>
      <c r="N82" s="11"/>
      <c r="O82" s="18"/>
    </row>
    <row r="83" spans="2:15" outlineLevel="1">
      <c r="D83" s="40" t="s">
        <v>8</v>
      </c>
      <c r="F83" s="35">
        <f>F77/($E$77*3600*24*365/1000)</f>
        <v>0.28483302891933027</v>
      </c>
      <c r="G83" s="35"/>
      <c r="I83" s="35">
        <f>I77/($E$77*3600*24*365/1000)</f>
        <v>0.62265513430794606</v>
      </c>
      <c r="N83" s="11"/>
      <c r="O83" s="18"/>
    </row>
    <row r="84" spans="2:15" outlineLevel="1">
      <c r="D84" s="37"/>
      <c r="N84" s="11"/>
      <c r="O84" s="18"/>
    </row>
    <row r="85" spans="2:15" outlineLevel="1">
      <c r="D85" s="11" t="s">
        <v>51</v>
      </c>
      <c r="E85" s="19">
        <v>100</v>
      </c>
      <c r="F85" s="39">
        <f>SUM(F86:F88)</f>
        <v>5003597.1223021578</v>
      </c>
      <c r="G85" s="39"/>
      <c r="H85" s="11">
        <v>2025</v>
      </c>
      <c r="I85" s="30">
        <f>F85</f>
        <v>5003597.1223021578</v>
      </c>
      <c r="J85" s="29" t="s">
        <v>88</v>
      </c>
      <c r="N85" s="11"/>
      <c r="O85" s="18"/>
    </row>
    <row r="86" spans="2:15" outlineLevel="1">
      <c r="D86" s="37" t="s">
        <v>9</v>
      </c>
      <c r="E86" s="42">
        <v>100</v>
      </c>
      <c r="F86" s="30">
        <f>486/27.8*1000*E86</f>
        <v>1748201.4388489209</v>
      </c>
      <c r="G86" s="21">
        <f>F86/($E$61*3600*24*365/1000)</f>
        <v>0.55435103971617228</v>
      </c>
      <c r="H86" s="11">
        <v>2025</v>
      </c>
      <c r="I86" s="30">
        <f t="shared" ref="I86:I88" si="6">F86</f>
        <v>1748201.4388489209</v>
      </c>
      <c r="N86" s="11"/>
      <c r="O86" s="18"/>
    </row>
    <row r="87" spans="2:15" outlineLevel="1">
      <c r="D87" s="37" t="s">
        <v>10</v>
      </c>
      <c r="E87" s="42">
        <v>100</v>
      </c>
      <c r="F87" s="30">
        <f>68/27.8*1000*E87</f>
        <v>244604.31654676259</v>
      </c>
      <c r="G87" s="21">
        <f>F87/($E$61*3600*24*365/1000)</f>
        <v>7.7563519960287486E-2</v>
      </c>
      <c r="H87" s="11">
        <v>2025</v>
      </c>
      <c r="I87" s="30">
        <f t="shared" si="6"/>
        <v>244604.31654676259</v>
      </c>
      <c r="N87" s="11"/>
      <c r="O87" s="18"/>
    </row>
    <row r="88" spans="2:15" outlineLevel="1">
      <c r="D88" s="37" t="s">
        <v>11</v>
      </c>
      <c r="E88" s="42">
        <v>100</v>
      </c>
      <c r="F88" s="30">
        <f>837/27.8*1000*E88</f>
        <v>3010791.3669064748</v>
      </c>
      <c r="G88" s="21">
        <f t="shared" ref="G88" si="7">F88/($E$61*3600*24*365/1000)</f>
        <v>0.95471567951118552</v>
      </c>
      <c r="H88" s="11">
        <v>2025</v>
      </c>
      <c r="I88" s="30">
        <f t="shared" si="6"/>
        <v>3010791.3669064748</v>
      </c>
      <c r="N88" s="11"/>
      <c r="O88" s="18"/>
    </row>
    <row r="89" spans="2:15" outlineLevel="1">
      <c r="D89" s="40" t="s">
        <v>8</v>
      </c>
      <c r="F89" s="41">
        <f>F85/($E$85*3600*24*365/1000)</f>
        <v>1.5866302391876452</v>
      </c>
      <c r="G89" s="41"/>
      <c r="H89" s="38"/>
      <c r="I89" s="41">
        <f>I85/($E$85*3600*24*365/1000)</f>
        <v>1.5866302391876452</v>
      </c>
      <c r="N89" s="11"/>
      <c r="O89" s="18"/>
    </row>
    <row r="90" spans="2:15">
      <c r="D90"/>
      <c r="E90" s="17"/>
      <c r="F90" s="30"/>
    </row>
    <row r="92" spans="2:15">
      <c r="D92" s="19" t="s">
        <v>461</v>
      </c>
    </row>
    <row r="94" spans="2:15" s="140" customFormat="1" ht="38.25">
      <c r="B94" s="139" t="s">
        <v>228</v>
      </c>
      <c r="D94" s="139" t="s">
        <v>229</v>
      </c>
      <c r="E94" s="139" t="s">
        <v>230</v>
      </c>
      <c r="F94" s="139" t="s">
        <v>234</v>
      </c>
      <c r="G94" s="139" t="s">
        <v>235</v>
      </c>
      <c r="H94" s="139" t="s">
        <v>236</v>
      </c>
      <c r="I94" s="139" t="s">
        <v>237</v>
      </c>
      <c r="J94" s="139" t="s">
        <v>320</v>
      </c>
      <c r="K94" s="139" t="s">
        <v>231</v>
      </c>
      <c r="L94" s="139" t="s">
        <v>238</v>
      </c>
      <c r="M94" s="139" t="s">
        <v>232</v>
      </c>
      <c r="N94" s="139" t="s">
        <v>233</v>
      </c>
    </row>
    <row r="95" spans="2:15" s="190" customFormat="1">
      <c r="B95" s="141">
        <v>11</v>
      </c>
      <c r="D95" s="138" t="s">
        <v>239</v>
      </c>
      <c r="E95" s="184"/>
      <c r="F95" s="186"/>
      <c r="G95" s="186"/>
      <c r="H95" s="188"/>
      <c r="I95" s="189"/>
      <c r="J95" s="184"/>
      <c r="K95" s="183"/>
      <c r="L95" s="189"/>
      <c r="M95" s="187"/>
      <c r="N95" s="187"/>
    </row>
    <row r="96" spans="2:15" s="190" customFormat="1">
      <c r="B96" s="181"/>
      <c r="D96" s="145" t="s">
        <v>453</v>
      </c>
      <c r="E96" s="184"/>
      <c r="F96" s="186"/>
      <c r="G96" s="186"/>
      <c r="H96" s="188"/>
      <c r="I96" s="189"/>
      <c r="J96" s="184"/>
      <c r="K96" s="142">
        <f>SUM(K97:K104)</f>
        <v>260236.17264957266</v>
      </c>
      <c r="L96" s="189"/>
      <c r="M96" s="187"/>
      <c r="N96" s="187"/>
    </row>
    <row r="97" spans="2:14" s="190" customFormat="1">
      <c r="B97" s="181"/>
      <c r="D97" s="233" t="s">
        <v>240</v>
      </c>
      <c r="E97" s="234">
        <f>'Aux - FOPAG'!C29</f>
        <v>6</v>
      </c>
      <c r="F97" s="235"/>
      <c r="G97" s="235"/>
      <c r="H97" s="199">
        <v>100</v>
      </c>
      <c r="I97" s="200"/>
      <c r="J97" s="201">
        <f>E97*H97</f>
        <v>600</v>
      </c>
      <c r="K97" s="198">
        <f>J97*12</f>
        <v>7200</v>
      </c>
      <c r="L97" s="189"/>
      <c r="M97" s="187"/>
      <c r="N97" s="187"/>
    </row>
    <row r="98" spans="2:14" s="190" customFormat="1">
      <c r="B98" s="181"/>
      <c r="D98" s="233" t="s">
        <v>241</v>
      </c>
      <c r="E98" s="234"/>
      <c r="F98" s="235"/>
      <c r="G98" s="235"/>
      <c r="H98" s="202"/>
      <c r="I98" s="200"/>
      <c r="J98" s="201">
        <v>1000</v>
      </c>
      <c r="K98" s="198">
        <f>J98*12</f>
        <v>12000</v>
      </c>
      <c r="L98" s="189"/>
      <c r="M98" s="187"/>
      <c r="N98" s="187"/>
    </row>
    <row r="99" spans="2:14" s="190" customFormat="1">
      <c r="B99" s="181"/>
      <c r="D99" s="233" t="s">
        <v>242</v>
      </c>
      <c r="E99" s="234">
        <f>(E97*100*30+400*30)/1000</f>
        <v>30</v>
      </c>
      <c r="F99" s="235"/>
      <c r="G99" s="235"/>
      <c r="H99" s="203">
        <v>12</v>
      </c>
      <c r="I99" s="200"/>
      <c r="J99" s="201">
        <f>E99*H99</f>
        <v>360</v>
      </c>
      <c r="K99" s="198">
        <f>J99*12</f>
        <v>4320</v>
      </c>
      <c r="L99" s="189"/>
      <c r="M99" s="187"/>
      <c r="N99" s="187"/>
    </row>
    <row r="100" spans="2:14" s="190" customFormat="1">
      <c r="B100" s="181"/>
      <c r="D100" s="233" t="s">
        <v>243</v>
      </c>
      <c r="E100" s="234"/>
      <c r="F100" s="235"/>
      <c r="G100" s="235"/>
      <c r="H100" s="204">
        <f>5000+3000</f>
        <v>8000</v>
      </c>
      <c r="I100" s="200"/>
      <c r="J100" s="201">
        <f>H100</f>
        <v>8000</v>
      </c>
      <c r="K100" s="198">
        <f>J100*12</f>
        <v>96000</v>
      </c>
      <c r="L100" s="189"/>
      <c r="M100" s="187"/>
      <c r="N100" s="187"/>
    </row>
    <row r="101" spans="2:14" s="190" customFormat="1">
      <c r="B101" s="181"/>
      <c r="D101" s="233" t="s">
        <v>244</v>
      </c>
      <c r="E101" s="234"/>
      <c r="F101" s="235"/>
      <c r="G101" s="235"/>
      <c r="H101" s="204">
        <v>1000</v>
      </c>
      <c r="I101" s="200"/>
      <c r="J101" s="201">
        <f>H101</f>
        <v>1000</v>
      </c>
      <c r="K101" s="198">
        <f>J101*12</f>
        <v>12000</v>
      </c>
      <c r="L101" s="189"/>
      <c r="M101" s="187"/>
      <c r="N101" s="187"/>
    </row>
    <row r="102" spans="2:14" s="190" customFormat="1">
      <c r="B102" s="181"/>
      <c r="D102" s="237" t="s">
        <v>245</v>
      </c>
      <c r="E102" s="234"/>
      <c r="F102" s="235"/>
      <c r="G102" s="235"/>
      <c r="H102" s="202"/>
      <c r="I102" s="200"/>
      <c r="J102" s="201"/>
      <c r="K102" s="198">
        <f>1/30*'Aux - FOPAG'!AG29</f>
        <v>2716.1726495726493</v>
      </c>
      <c r="L102" s="189"/>
      <c r="M102" s="187"/>
      <c r="N102" s="187"/>
    </row>
    <row r="103" spans="2:14" s="190" customFormat="1">
      <c r="B103" s="181"/>
      <c r="D103" s="233" t="s">
        <v>246</v>
      </c>
      <c r="E103" s="234"/>
      <c r="F103" s="235"/>
      <c r="G103" s="235"/>
      <c r="H103" s="236">
        <v>1000</v>
      </c>
      <c r="I103" s="200">
        <v>1000</v>
      </c>
      <c r="J103" s="201"/>
      <c r="K103" s="198">
        <f>H103*E97</f>
        <v>6000</v>
      </c>
      <c r="L103" s="189"/>
      <c r="M103" s="187"/>
      <c r="N103" s="187"/>
    </row>
    <row r="104" spans="2:14" s="144" customFormat="1">
      <c r="B104" s="181"/>
      <c r="D104" s="233" t="s">
        <v>247</v>
      </c>
      <c r="E104" s="234">
        <v>1</v>
      </c>
      <c r="F104" s="235"/>
      <c r="G104" s="235"/>
      <c r="H104" s="202"/>
      <c r="I104" s="200"/>
      <c r="J104" s="201">
        <v>10000</v>
      </c>
      <c r="K104" s="198">
        <f>J104*12</f>
        <v>120000</v>
      </c>
      <c r="L104" s="143"/>
      <c r="M104" s="184"/>
      <c r="N104" s="184"/>
    </row>
    <row r="105" spans="2:14" s="144" customFormat="1">
      <c r="B105" s="181"/>
      <c r="D105" s="182"/>
      <c r="E105" s="183"/>
      <c r="F105" s="197"/>
      <c r="G105" s="197"/>
      <c r="H105" s="196"/>
      <c r="I105" s="195"/>
      <c r="J105" s="185"/>
      <c r="K105" s="183"/>
      <c r="L105" s="143"/>
      <c r="M105" s="184"/>
      <c r="N105" s="184"/>
    </row>
    <row r="106" spans="2:14" s="144" customFormat="1">
      <c r="B106" s="181"/>
      <c r="D106" s="145" t="s">
        <v>248</v>
      </c>
      <c r="E106" s="183"/>
      <c r="F106" s="197"/>
      <c r="G106" s="197"/>
      <c r="H106" s="196"/>
      <c r="I106" s="195"/>
      <c r="J106" s="185"/>
      <c r="K106" s="142">
        <f>SUM(K107:K111)</f>
        <v>42695.612358974358</v>
      </c>
      <c r="L106" s="143"/>
      <c r="M106" s="184"/>
      <c r="N106" s="184"/>
    </row>
    <row r="107" spans="2:14" s="144" customFormat="1">
      <c r="B107" s="181"/>
      <c r="D107" s="233" t="s">
        <v>240</v>
      </c>
      <c r="E107" s="183">
        <f>'Aux - FOPAG'!C35</f>
        <v>10</v>
      </c>
      <c r="F107" s="197"/>
      <c r="G107" s="197"/>
      <c r="H107" s="199">
        <v>100</v>
      </c>
      <c r="I107" s="200"/>
      <c r="J107" s="201">
        <f>E107*H107</f>
        <v>1000</v>
      </c>
      <c r="K107" s="198">
        <f>J107*12</f>
        <v>12000</v>
      </c>
      <c r="L107" s="143"/>
      <c r="M107" s="184"/>
      <c r="N107" s="184"/>
    </row>
    <row r="108" spans="2:14" s="144" customFormat="1">
      <c r="B108" s="181"/>
      <c r="D108" s="233" t="s">
        <v>241</v>
      </c>
      <c r="E108" s="183"/>
      <c r="F108" s="197"/>
      <c r="G108" s="197"/>
      <c r="H108" s="202"/>
      <c r="I108" s="200"/>
      <c r="J108" s="201">
        <v>1000</v>
      </c>
      <c r="K108" s="198">
        <f>J108*12</f>
        <v>12000</v>
      </c>
      <c r="L108" s="143"/>
      <c r="M108" s="184"/>
      <c r="N108" s="184"/>
    </row>
    <row r="109" spans="2:14" s="144" customFormat="1">
      <c r="B109" s="181"/>
      <c r="D109" s="233" t="s">
        <v>242</v>
      </c>
      <c r="E109" s="234">
        <f>(E107*100*30+400*30)/1000</f>
        <v>42</v>
      </c>
      <c r="F109" s="197"/>
      <c r="G109" s="197"/>
      <c r="H109" s="203">
        <v>12</v>
      </c>
      <c r="I109" s="200"/>
      <c r="J109" s="201">
        <f>E109*H109</f>
        <v>504</v>
      </c>
      <c r="K109" s="198">
        <f>J109*12</f>
        <v>6048</v>
      </c>
      <c r="L109" s="143"/>
      <c r="M109" s="184"/>
      <c r="N109" s="184"/>
    </row>
    <row r="110" spans="2:14" s="144" customFormat="1">
      <c r="B110" s="181"/>
      <c r="D110" s="237" t="s">
        <v>245</v>
      </c>
      <c r="E110" s="183"/>
      <c r="F110" s="197"/>
      <c r="G110" s="197"/>
      <c r="H110" s="202"/>
      <c r="I110" s="200"/>
      <c r="J110" s="201"/>
      <c r="K110" s="198">
        <f>1/30*'Aux - FOPAG'!AG35</f>
        <v>2647.6123589743588</v>
      </c>
      <c r="L110" s="143"/>
      <c r="M110" s="184"/>
      <c r="N110" s="184"/>
    </row>
    <row r="111" spans="2:14" s="144" customFormat="1">
      <c r="B111" s="181"/>
      <c r="D111" s="233" t="s">
        <v>246</v>
      </c>
      <c r="E111" s="183"/>
      <c r="F111" s="197"/>
      <c r="G111" s="197"/>
      <c r="H111" s="236">
        <v>1000</v>
      </c>
      <c r="I111" s="200">
        <v>1000</v>
      </c>
      <c r="J111" s="201"/>
      <c r="K111" s="198">
        <f>H111*E107</f>
        <v>10000</v>
      </c>
      <c r="L111" s="143"/>
      <c r="M111" s="184"/>
      <c r="N111" s="184"/>
    </row>
    <row r="112" spans="2:14" s="144" customFormat="1">
      <c r="B112" s="181"/>
      <c r="D112" s="182"/>
      <c r="E112" s="183"/>
      <c r="F112" s="197"/>
      <c r="G112" s="197"/>
      <c r="H112" s="196"/>
      <c r="I112" s="195"/>
      <c r="J112" s="185"/>
      <c r="K112" s="183"/>
      <c r="L112" s="143"/>
      <c r="M112" s="184"/>
      <c r="N112" s="184"/>
    </row>
    <row r="113" spans="2:14" s="144" customFormat="1">
      <c r="B113" s="181"/>
      <c r="D113" s="145" t="s">
        <v>338</v>
      </c>
      <c r="E113" s="183"/>
      <c r="F113" s="197"/>
      <c r="G113" s="197"/>
      <c r="H113" s="196"/>
      <c r="I113" s="195"/>
      <c r="J113" s="185"/>
      <c r="K113" s="142">
        <f>SUM(K114:K115)</f>
        <v>1161.1759259259259</v>
      </c>
      <c r="L113" s="143"/>
      <c r="M113" s="184"/>
      <c r="N113" s="184"/>
    </row>
    <row r="114" spans="2:14" s="144" customFormat="1">
      <c r="B114" s="181"/>
      <c r="D114" s="237" t="s">
        <v>245</v>
      </c>
      <c r="E114" s="183">
        <f>'Aux - FOPAG'!C40</f>
        <v>1</v>
      </c>
      <c r="F114" s="197"/>
      <c r="G114" s="197"/>
      <c r="H114" s="202"/>
      <c r="I114" s="200"/>
      <c r="J114" s="201"/>
      <c r="K114" s="198">
        <f>1/30*'Aux - FOPAG'!AG40</f>
        <v>161.17592592592592</v>
      </c>
      <c r="L114" s="143"/>
      <c r="M114" s="184"/>
      <c r="N114" s="184"/>
    </row>
    <row r="115" spans="2:14" s="144" customFormat="1">
      <c r="B115" s="181"/>
      <c r="D115" s="233" t="s">
        <v>246</v>
      </c>
      <c r="E115" s="183"/>
      <c r="F115" s="197"/>
      <c r="G115" s="197"/>
      <c r="H115" s="236">
        <v>1000</v>
      </c>
      <c r="I115" s="200">
        <v>1000</v>
      </c>
      <c r="J115" s="201"/>
      <c r="K115" s="198">
        <f>H115*E114</f>
        <v>1000</v>
      </c>
      <c r="L115" s="143"/>
      <c r="M115" s="184"/>
      <c r="N115" s="184"/>
    </row>
    <row r="116" spans="2:14" s="144" customFormat="1">
      <c r="B116" s="181"/>
      <c r="D116" s="182"/>
      <c r="E116" s="183"/>
      <c r="F116" s="197"/>
      <c r="G116" s="197"/>
      <c r="H116" s="196"/>
      <c r="I116" s="195"/>
      <c r="J116" s="185"/>
      <c r="K116" s="183"/>
      <c r="L116" s="143"/>
      <c r="M116" s="184"/>
      <c r="N116" s="184"/>
    </row>
    <row r="117" spans="2:14" s="144" customFormat="1">
      <c r="B117" s="181"/>
      <c r="D117" s="145" t="s">
        <v>339</v>
      </c>
      <c r="E117" s="183"/>
      <c r="F117" s="197"/>
      <c r="G117" s="197"/>
      <c r="H117" s="196"/>
      <c r="I117" s="195"/>
      <c r="J117" s="185"/>
      <c r="K117" s="142">
        <f>SUM(K118:K119)</f>
        <v>0</v>
      </c>
      <c r="L117" s="143"/>
      <c r="M117" s="184"/>
      <c r="N117" s="184"/>
    </row>
    <row r="118" spans="2:14" s="144" customFormat="1">
      <c r="B118" s="181"/>
      <c r="D118" s="237" t="s">
        <v>245</v>
      </c>
      <c r="E118" s="183">
        <f>'Aux - FOPAG'!C42</f>
        <v>0</v>
      </c>
      <c r="F118" s="197"/>
      <c r="G118" s="197"/>
      <c r="H118" s="202"/>
      <c r="I118" s="200"/>
      <c r="J118" s="201"/>
      <c r="K118" s="198">
        <f>1/30*'Aux - FOPAG'!AG42</f>
        <v>0</v>
      </c>
      <c r="L118" s="143"/>
      <c r="M118" s="184"/>
      <c r="N118" s="184"/>
    </row>
    <row r="119" spans="2:14" s="144" customFormat="1">
      <c r="B119" s="181"/>
      <c r="D119" s="233" t="s">
        <v>246</v>
      </c>
      <c r="E119" s="183"/>
      <c r="F119" s="197"/>
      <c r="G119" s="197"/>
      <c r="H119" s="236">
        <v>1000</v>
      </c>
      <c r="I119" s="200">
        <v>1000</v>
      </c>
      <c r="J119" s="201"/>
      <c r="K119" s="198">
        <f>H119*E118</f>
        <v>0</v>
      </c>
      <c r="L119" s="143"/>
      <c r="M119" s="184"/>
      <c r="N119" s="184"/>
    </row>
    <row r="120" spans="2:14" s="140" customFormat="1">
      <c r="B120" s="181"/>
      <c r="D120" s="191"/>
      <c r="E120" s="183"/>
      <c r="F120" s="197"/>
      <c r="G120" s="197"/>
      <c r="H120" s="194"/>
      <c r="I120" s="193"/>
      <c r="J120" s="192"/>
      <c r="K120" s="183"/>
      <c r="L120" s="143"/>
      <c r="M120" s="184"/>
      <c r="N120" s="184"/>
    </row>
  </sheetData>
  <phoneticPr fontId="19" type="noConversion"/>
  <pageMargins left="0.511811024" right="0.511811024" top="0.78740157499999996" bottom="0.78740157499999996" header="0.31496062000000002" footer="0.31496062000000002"/>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448E-6B2C-4CB8-B319-1C47699AA9A5}">
  <sheetPr>
    <tabColor theme="9" tint="0.39997558519241921"/>
  </sheetPr>
  <dimension ref="A1:AR45"/>
  <sheetViews>
    <sheetView showGridLines="0" zoomScale="115" zoomScaleNormal="115" workbookViewId="0">
      <selection activeCell="F7" sqref="F7"/>
    </sheetView>
  </sheetViews>
  <sheetFormatPr defaultRowHeight="15"/>
  <cols>
    <col min="2" max="2" width="29.42578125" bestFit="1" customWidth="1"/>
    <col min="3" max="3" width="12.5703125" bestFit="1" customWidth="1"/>
    <col min="4" max="4" width="9.42578125" bestFit="1" customWidth="1"/>
    <col min="6" max="6" width="11.140625" bestFit="1" customWidth="1"/>
  </cols>
  <sheetData>
    <row r="1" spans="1:44" s="47" customFormat="1" ht="25.5">
      <c r="A1" s="43"/>
      <c r="B1" s="44"/>
      <c r="C1" s="45"/>
      <c r="D1" s="46" t="s">
        <v>223</v>
      </c>
      <c r="E1" s="46"/>
      <c r="F1" s="46"/>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row>
    <row r="2" spans="1:44" s="53" customFormat="1" ht="12.75">
      <c r="A2" s="48"/>
      <c r="B2" s="49"/>
      <c r="C2" s="49"/>
      <c r="D2" s="49"/>
      <c r="E2" s="49"/>
      <c r="F2" s="50"/>
      <c r="G2" s="51"/>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4" spans="1:44">
      <c r="B4" s="19" t="s">
        <v>248</v>
      </c>
    </row>
    <row r="6" spans="1:44">
      <c r="B6" s="59" t="s">
        <v>220</v>
      </c>
      <c r="C6" s="60" t="s">
        <v>8</v>
      </c>
      <c r="D6" s="66">
        <f>SUM(D7:D12)</f>
        <v>1.6055635199602876</v>
      </c>
    </row>
    <row r="7" spans="1:44">
      <c r="B7" s="37" t="s">
        <v>10</v>
      </c>
      <c r="C7" s="11" t="s">
        <v>8</v>
      </c>
      <c r="D7" s="68">
        <f>'Capex.Opex_Ref téc'!G87</f>
        <v>7.7563519960287486E-2</v>
      </c>
      <c r="F7" s="159"/>
    </row>
    <row r="8" spans="1:44">
      <c r="B8" s="37" t="s">
        <v>92</v>
      </c>
      <c r="C8" s="11" t="s">
        <v>8</v>
      </c>
      <c r="D8" s="68">
        <f>'Capex.Opex_Ref téc'!G72</f>
        <v>1.2000000000000004E-2</v>
      </c>
    </row>
    <row r="9" spans="1:44">
      <c r="B9" s="37" t="s">
        <v>141</v>
      </c>
      <c r="C9" s="11" t="s">
        <v>8</v>
      </c>
      <c r="D9" s="68">
        <f>'Capex.Opex_Ref téc'!G73</f>
        <v>0.49200000000000005</v>
      </c>
    </row>
    <row r="10" spans="1:44">
      <c r="B10" s="37" t="s">
        <v>93</v>
      </c>
      <c r="C10" s="11" t="s">
        <v>8</v>
      </c>
      <c r="D10" s="68">
        <f>'Capex.Opex_Ref téc'!G74</f>
        <v>0.19200000000000006</v>
      </c>
    </row>
    <row r="11" spans="1:44">
      <c r="B11" s="37" t="s">
        <v>97</v>
      </c>
      <c r="C11" s="11" t="s">
        <v>8</v>
      </c>
      <c r="D11" s="68">
        <f>'Capex.Opex_Ref téc'!G75</f>
        <v>0.13200000000000003</v>
      </c>
    </row>
    <row r="12" spans="1:44">
      <c r="B12" s="37" t="s">
        <v>260</v>
      </c>
      <c r="C12" s="11" t="s">
        <v>8</v>
      </c>
      <c r="D12" s="68">
        <v>0.7</v>
      </c>
    </row>
    <row r="14" spans="1:44">
      <c r="B14" s="59" t="s">
        <v>222</v>
      </c>
      <c r="C14" s="60"/>
      <c r="D14" s="66" t="e">
        <f>SUM(D15:D21)</f>
        <v>#REF!</v>
      </c>
      <c r="E14" s="59"/>
    </row>
    <row r="15" spans="1:44">
      <c r="B15" s="37" t="s">
        <v>255</v>
      </c>
      <c r="C15" s="11" t="s">
        <v>21</v>
      </c>
      <c r="D15" s="62" t="e">
        <f>'Capex.Opex_Ref téc'!H23*(MAX(#REF!)/'Capex.Opex_Ref téc'!E23)^0.6/1000</f>
        <v>#REF!</v>
      </c>
      <c r="E15" s="65">
        <v>23</v>
      </c>
    </row>
    <row r="16" spans="1:44">
      <c r="B16" s="37" t="s">
        <v>256</v>
      </c>
      <c r="C16" s="11" t="s">
        <v>21</v>
      </c>
      <c r="D16" s="62" t="e">
        <f>'Capex.Opex_Ref téc'!H21*(MAX(#REF!)/'Capex.Opex_Ref téc'!E21)^0.6/1000</f>
        <v>#REF!</v>
      </c>
      <c r="E16" s="65">
        <v>10</v>
      </c>
    </row>
    <row r="17" spans="2:5">
      <c r="B17" s="37" t="s">
        <v>257</v>
      </c>
      <c r="C17" s="11" t="s">
        <v>21</v>
      </c>
      <c r="D17" s="62" t="e">
        <f>'Capex.Opex_Ref téc'!H22*(MAX(#REF!)/'Capex.Opex_Ref téc'!E22)^0.6/1000</f>
        <v>#REF!</v>
      </c>
      <c r="E17" s="65">
        <v>10</v>
      </c>
    </row>
    <row r="18" spans="2:5">
      <c r="B18" s="37" t="s">
        <v>51</v>
      </c>
      <c r="C18" s="11" t="s">
        <v>21</v>
      </c>
      <c r="D18" s="62" t="e">
        <f>'Capex.Opex_Ref téc'!H15*(MAX(#REF!)/'Capex.Opex_Ref téc'!E15)^0.6/1000</f>
        <v>#REF!</v>
      </c>
      <c r="E18" s="65">
        <v>3</v>
      </c>
    </row>
    <row r="19" spans="2:5">
      <c r="B19" s="67" t="s">
        <v>258</v>
      </c>
      <c r="C19" s="11" t="s">
        <v>21</v>
      </c>
      <c r="D19" s="62"/>
      <c r="E19" s="65">
        <v>5</v>
      </c>
    </row>
    <row r="20" spans="2:5">
      <c r="B20" s="137" t="s">
        <v>224</v>
      </c>
      <c r="C20" s="11" t="s">
        <v>21</v>
      </c>
      <c r="D20" s="62"/>
      <c r="E20" s="65">
        <v>10</v>
      </c>
    </row>
    <row r="21" spans="2:5">
      <c r="B21" s="137" t="s">
        <v>265</v>
      </c>
      <c r="C21" s="11" t="s">
        <v>21</v>
      </c>
      <c r="D21" s="62">
        <v>6000</v>
      </c>
      <c r="E21" s="65"/>
    </row>
    <row r="23" spans="2:5">
      <c r="B23" s="138" t="s">
        <v>225</v>
      </c>
    </row>
    <row r="24" spans="2:5">
      <c r="B24" s="138" t="s">
        <v>226</v>
      </c>
    </row>
    <row r="25" spans="2:5">
      <c r="B25" s="138" t="s">
        <v>227</v>
      </c>
    </row>
    <row r="28" spans="2:5">
      <c r="B28" s="158"/>
    </row>
    <row r="29" spans="2:5">
      <c r="C29" s="17"/>
    </row>
    <row r="30" spans="2:5">
      <c r="C30" s="17"/>
    </row>
    <row r="31" spans="2:5">
      <c r="C31" s="17"/>
    </row>
    <row r="32" spans="2:5">
      <c r="C32" s="17"/>
    </row>
    <row r="33" spans="3:6">
      <c r="C33" s="17"/>
    </row>
    <row r="34" spans="3:6">
      <c r="C34" s="17"/>
    </row>
    <row r="35" spans="3:6">
      <c r="C35" s="17"/>
    </row>
    <row r="36" spans="3:6">
      <c r="C36" s="86"/>
    </row>
    <row r="37" spans="3:6">
      <c r="C37" s="86"/>
    </row>
    <row r="38" spans="3:6">
      <c r="C38" s="86"/>
    </row>
    <row r="39" spans="3:6">
      <c r="C39" s="86"/>
    </row>
    <row r="40" spans="3:6">
      <c r="C40" s="86"/>
    </row>
    <row r="41" spans="3:6">
      <c r="C41" s="86"/>
      <c r="D41" s="167"/>
    </row>
    <row r="42" spans="3:6">
      <c r="C42" s="86"/>
      <c r="E42" s="87"/>
    </row>
    <row r="45" spans="3:6">
      <c r="F45" s="17"/>
    </row>
  </sheetData>
  <phoneticPr fontId="19" type="noConversion"/>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5F28B-255F-4C60-8BB8-338FD007C1CF}">
  <sheetPr>
    <tabColor theme="0" tint="-0.34998626667073579"/>
  </sheetPr>
  <dimension ref="A1:AQ49"/>
  <sheetViews>
    <sheetView showGridLines="0" zoomScale="82" zoomScaleNormal="82" workbookViewId="0"/>
  </sheetViews>
  <sheetFormatPr defaultColWidth="8.7109375" defaultRowHeight="15" outlineLevelRow="1" outlineLevelCol="1"/>
  <cols>
    <col min="1" max="1" width="9" style="88" customWidth="1"/>
    <col min="2" max="2" width="28.42578125" style="88" customWidth="1"/>
    <col min="3" max="3" width="12.140625" style="88" bestFit="1" customWidth="1"/>
    <col min="4" max="5" width="17.42578125" style="88" customWidth="1" outlineLevel="1"/>
    <col min="6" max="7" width="16.5703125" style="88" customWidth="1" outlineLevel="1"/>
    <col min="8" max="8" width="18.42578125" style="88" bestFit="1" customWidth="1"/>
    <col min="9" max="9" width="22.140625" style="88" hidden="1" customWidth="1" outlineLevel="1"/>
    <col min="10" max="11" width="14.5703125" style="88" hidden="1" customWidth="1" outlineLevel="1"/>
    <col min="12" max="12" width="22.140625" style="88" hidden="1" customWidth="1" outlineLevel="1"/>
    <col min="13" max="13" width="26.140625" style="88" bestFit="1" customWidth="1" collapsed="1"/>
    <col min="14" max="14" width="14.5703125" style="88" hidden="1" customWidth="1" outlineLevel="1"/>
    <col min="15" max="15" width="23.42578125" style="88" hidden="1" customWidth="1" outlineLevel="1"/>
    <col min="16" max="16" width="26.42578125" style="88" hidden="1" customWidth="1" outlineLevel="1"/>
    <col min="17" max="17" width="16.5703125" style="88" hidden="1" customWidth="1" outlineLevel="1"/>
    <col min="18" max="18" width="20.5703125" style="88" bestFit="1" customWidth="1" collapsed="1"/>
    <col min="19" max="19" width="15.140625" style="88" hidden="1" customWidth="1" outlineLevel="1"/>
    <col min="20" max="20" width="14.5703125" style="88" hidden="1" customWidth="1" outlineLevel="1"/>
    <col min="21" max="21" width="23.42578125" style="88" hidden="1" customWidth="1" outlineLevel="1"/>
    <col min="22" max="22" width="20.42578125" style="88" bestFit="1" customWidth="1" collapsed="1"/>
    <col min="23" max="23" width="16.5703125" style="88" hidden="1" customWidth="1" outlineLevel="1"/>
    <col min="24" max="24" width="15.140625" style="88" hidden="1" customWidth="1" outlineLevel="1"/>
    <col min="25" max="25" width="13.5703125" style="88" hidden="1" customWidth="1" outlineLevel="1"/>
    <col min="26" max="26" width="21.140625" style="88" hidden="1" customWidth="1" outlineLevel="1"/>
    <col min="27" max="27" width="16.42578125" style="88" hidden="1" customWidth="1" outlineLevel="1"/>
    <col min="28" max="28" width="10.42578125" style="88" hidden="1" customWidth="1" outlineLevel="1"/>
    <col min="29" max="29" width="13.42578125" style="88" hidden="1" customWidth="1" outlineLevel="1"/>
    <col min="30" max="30" width="23.140625" style="88" bestFit="1" customWidth="1" collapsed="1"/>
    <col min="31" max="31" width="29.140625" style="88" hidden="1" customWidth="1" outlineLevel="1"/>
    <col min="32" max="32" width="29.42578125" style="88" hidden="1" customWidth="1" outlineLevel="1"/>
    <col min="33" max="33" width="15.140625" style="88" bestFit="1" customWidth="1" collapsed="1"/>
    <col min="34" max="34" width="16.42578125" style="88" bestFit="1" customWidth="1"/>
    <col min="35" max="36" width="18.5703125" style="88" customWidth="1"/>
    <col min="37" max="37" width="8.85546875" style="88" bestFit="1" customWidth="1"/>
    <col min="38" max="38" width="9.42578125" style="88" bestFit="1" customWidth="1"/>
    <col min="39" max="39" width="11.42578125" style="88" bestFit="1" customWidth="1"/>
    <col min="40" max="43" width="17.42578125" style="88" customWidth="1"/>
    <col min="44" max="16384" width="8.7109375" style="88"/>
  </cols>
  <sheetData>
    <row r="1" spans="2:5">
      <c r="D1" s="89"/>
    </row>
    <row r="2" spans="2:5" outlineLevel="1">
      <c r="B2" s="90" t="s">
        <v>157</v>
      </c>
      <c r="C2" s="90"/>
      <c r="D2" s="89"/>
    </row>
    <row r="3" spans="2:5" outlineLevel="1">
      <c r="B3" s="88" t="s">
        <v>158</v>
      </c>
      <c r="C3" s="91">
        <v>0.4</v>
      </c>
      <c r="D3" s="89" t="s">
        <v>159</v>
      </c>
    </row>
    <row r="4" spans="2:5" outlineLevel="1">
      <c r="B4" s="88" t="s">
        <v>160</v>
      </c>
      <c r="C4" s="91">
        <f>20%*60/52</f>
        <v>0.23076923076923078</v>
      </c>
      <c r="D4" s="89" t="s">
        <v>161</v>
      </c>
      <c r="E4" s="92"/>
    </row>
    <row r="5" spans="2:5" outlineLevel="1">
      <c r="B5" s="88" t="s">
        <v>162</v>
      </c>
      <c r="C5" s="91">
        <f>1/220*22*1</f>
        <v>9.9999999999999992E-2</v>
      </c>
      <c r="D5" s="89" t="s">
        <v>163</v>
      </c>
    </row>
    <row r="6" spans="2:5" outlineLevel="1">
      <c r="C6" s="93"/>
      <c r="D6" s="89"/>
    </row>
    <row r="7" spans="2:5" outlineLevel="1">
      <c r="B7" s="90" t="s">
        <v>164</v>
      </c>
      <c r="C7" s="94"/>
      <c r="D7" s="89"/>
    </row>
    <row r="8" spans="2:5" outlineLevel="1">
      <c r="B8" s="95" t="s">
        <v>165</v>
      </c>
      <c r="C8" s="91">
        <f>1/3/12</f>
        <v>2.7777777777777776E-2</v>
      </c>
      <c r="D8" s="89" t="s">
        <v>166</v>
      </c>
    </row>
    <row r="9" spans="2:5" outlineLevel="1">
      <c r="B9" s="96" t="s">
        <v>167</v>
      </c>
      <c r="C9" s="91">
        <f>1/12</f>
        <v>8.3333333333333329E-2</v>
      </c>
      <c r="D9" s="89"/>
    </row>
    <row r="10" spans="2:5" outlineLevel="1">
      <c r="B10" s="95" t="s">
        <v>168</v>
      </c>
      <c r="C10" s="91">
        <f>1/12/5</f>
        <v>1.6666666666666666E-2</v>
      </c>
      <c r="D10" s="89" t="s">
        <v>169</v>
      </c>
    </row>
    <row r="11" spans="2:5" outlineLevel="1">
      <c r="B11" s="95" t="s">
        <v>170</v>
      </c>
      <c r="C11" s="91">
        <f>8%*50%</f>
        <v>0.04</v>
      </c>
      <c r="D11" s="89"/>
    </row>
    <row r="12" spans="2:5" outlineLevel="1">
      <c r="D12" s="89"/>
    </row>
    <row r="13" spans="2:5" outlineLevel="1">
      <c r="B13" s="97" t="s">
        <v>171</v>
      </c>
      <c r="C13" s="90"/>
      <c r="D13" s="89"/>
    </row>
    <row r="14" spans="2:5" outlineLevel="1">
      <c r="B14" s="95" t="s">
        <v>172</v>
      </c>
      <c r="C14" s="91">
        <v>0.2</v>
      </c>
      <c r="D14" s="89"/>
    </row>
    <row r="15" spans="2:5" outlineLevel="1">
      <c r="B15" s="95" t="s">
        <v>173</v>
      </c>
      <c r="C15" s="91">
        <v>0.08</v>
      </c>
      <c r="D15" s="89"/>
    </row>
    <row r="16" spans="2:5" outlineLevel="1">
      <c r="B16" s="95" t="s">
        <v>174</v>
      </c>
      <c r="C16" s="91">
        <v>0.05</v>
      </c>
      <c r="D16" s="89"/>
    </row>
    <row r="17" spans="2:43" outlineLevel="1">
      <c r="C17" s="98"/>
      <c r="D17" s="89"/>
    </row>
    <row r="18" spans="2:43" outlineLevel="1">
      <c r="B18" s="97" t="s">
        <v>175</v>
      </c>
      <c r="C18" s="99"/>
      <c r="D18" s="89"/>
    </row>
    <row r="19" spans="2:43" outlineLevel="1">
      <c r="B19" s="95" t="s">
        <v>176</v>
      </c>
      <c r="C19" s="100">
        <f>30*22</f>
        <v>660</v>
      </c>
      <c r="D19" s="89" t="s">
        <v>177</v>
      </c>
      <c r="F19" s="101"/>
      <c r="G19" s="101"/>
    </row>
    <row r="20" spans="2:43" outlineLevel="1">
      <c r="B20" s="95" t="s">
        <v>152</v>
      </c>
      <c r="C20" s="100">
        <v>300</v>
      </c>
      <c r="D20" s="89" t="s">
        <v>178</v>
      </c>
      <c r="F20" s="101"/>
      <c r="G20" s="101"/>
      <c r="M20" s="17"/>
    </row>
    <row r="21" spans="2:43" outlineLevel="1">
      <c r="B21" s="95" t="s">
        <v>179</v>
      </c>
      <c r="C21" s="100">
        <v>250</v>
      </c>
      <c r="D21" s="89"/>
      <c r="F21" s="101"/>
      <c r="G21" s="101"/>
    </row>
    <row r="22" spans="2:43" outlineLevel="1">
      <c r="B22" s="95" t="s">
        <v>180</v>
      </c>
      <c r="C22" s="100">
        <v>0</v>
      </c>
      <c r="D22" s="89"/>
    </row>
    <row r="23" spans="2:43" outlineLevel="1">
      <c r="B23" s="95" t="s">
        <v>181</v>
      </c>
      <c r="C23" s="91">
        <v>2.4E-2</v>
      </c>
      <c r="D23" s="89"/>
    </row>
    <row r="24" spans="2:43" outlineLevel="1">
      <c r="B24" s="95" t="s">
        <v>182</v>
      </c>
      <c r="C24" s="91">
        <v>0</v>
      </c>
      <c r="D24" s="89"/>
    </row>
    <row r="25" spans="2:43" outlineLevel="1">
      <c r="B25" s="95" t="s">
        <v>183</v>
      </c>
      <c r="C25" s="91">
        <v>2</v>
      </c>
      <c r="D25" s="89"/>
    </row>
    <row r="26" spans="2:43">
      <c r="B26" s="95"/>
    </row>
    <row r="27" spans="2:43">
      <c r="I27" s="567" t="s">
        <v>157</v>
      </c>
      <c r="J27" s="567"/>
      <c r="K27" s="567"/>
      <c r="L27" s="567"/>
      <c r="M27" s="567"/>
      <c r="N27" s="568" t="s">
        <v>164</v>
      </c>
      <c r="O27" s="568"/>
      <c r="P27" s="568"/>
      <c r="Q27" s="568"/>
      <c r="R27" s="568"/>
      <c r="S27" s="569" t="s">
        <v>171</v>
      </c>
      <c r="T27" s="569"/>
      <c r="U27" s="569"/>
      <c r="V27" s="569"/>
      <c r="W27" s="570" t="s">
        <v>175</v>
      </c>
      <c r="X27" s="570"/>
      <c r="Y27" s="570"/>
      <c r="Z27" s="570"/>
      <c r="AA27" s="570"/>
      <c r="AB27" s="570"/>
      <c r="AC27" s="570"/>
      <c r="AD27" s="570"/>
      <c r="AE27" s="571" t="s">
        <v>184</v>
      </c>
      <c r="AF27" s="571"/>
      <c r="AG27" s="571"/>
      <c r="AH27" s="571"/>
      <c r="AI27" s="566" t="s">
        <v>250</v>
      </c>
      <c r="AJ27" s="566"/>
    </row>
    <row r="28" spans="2:43">
      <c r="B28" s="102" t="s">
        <v>185</v>
      </c>
      <c r="C28" s="103" t="s">
        <v>186</v>
      </c>
      <c r="D28" s="103" t="s">
        <v>187</v>
      </c>
      <c r="E28" s="103" t="s">
        <v>188</v>
      </c>
      <c r="F28" s="103" t="s">
        <v>189</v>
      </c>
      <c r="G28" s="103" t="s">
        <v>190</v>
      </c>
      <c r="H28" s="103" t="s">
        <v>191</v>
      </c>
      <c r="I28" s="104" t="s">
        <v>192</v>
      </c>
      <c r="J28" s="104" t="s">
        <v>193</v>
      </c>
      <c r="K28" s="104" t="s">
        <v>162</v>
      </c>
      <c r="L28" s="104" t="s">
        <v>194</v>
      </c>
      <c r="M28" s="104" t="s">
        <v>195</v>
      </c>
      <c r="N28" s="105" t="s">
        <v>196</v>
      </c>
      <c r="O28" s="105" t="s">
        <v>197</v>
      </c>
      <c r="P28" s="105" t="s">
        <v>198</v>
      </c>
      <c r="Q28" s="105" t="s">
        <v>199</v>
      </c>
      <c r="R28" s="105" t="s">
        <v>200</v>
      </c>
      <c r="S28" s="106" t="s">
        <v>172</v>
      </c>
      <c r="T28" s="106" t="s">
        <v>173</v>
      </c>
      <c r="U28" s="106" t="s">
        <v>201</v>
      </c>
      <c r="V28" s="106" t="s">
        <v>202</v>
      </c>
      <c r="W28" s="107" t="s">
        <v>176</v>
      </c>
      <c r="X28" s="107" t="s">
        <v>152</v>
      </c>
      <c r="Y28" s="107" t="s">
        <v>203</v>
      </c>
      <c r="Z28" s="107" t="s">
        <v>181</v>
      </c>
      <c r="AA28" s="107" t="s">
        <v>204</v>
      </c>
      <c r="AB28" s="107" t="s">
        <v>205</v>
      </c>
      <c r="AC28" s="107" t="s">
        <v>190</v>
      </c>
      <c r="AD28" s="107" t="s">
        <v>206</v>
      </c>
      <c r="AE28" s="102" t="s">
        <v>207</v>
      </c>
      <c r="AF28" s="102" t="s">
        <v>208</v>
      </c>
      <c r="AG28" s="103" t="s">
        <v>209</v>
      </c>
      <c r="AH28" s="103" t="s">
        <v>210</v>
      </c>
      <c r="AI28" s="108" t="s">
        <v>211</v>
      </c>
      <c r="AJ28" s="108" t="s">
        <v>212</v>
      </c>
      <c r="AL28" s="88" t="s">
        <v>191</v>
      </c>
      <c r="AM28" s="88" t="s">
        <v>157</v>
      </c>
      <c r="AN28" s="88" t="s">
        <v>164</v>
      </c>
      <c r="AO28" s="88" t="s">
        <v>171</v>
      </c>
      <c r="AP28" s="88" t="s">
        <v>175</v>
      </c>
      <c r="AQ28" s="88" t="s">
        <v>213</v>
      </c>
    </row>
    <row r="29" spans="2:43">
      <c r="B29" s="152" t="s">
        <v>453</v>
      </c>
      <c r="C29" s="135">
        <f>SUM(C30:C34)</f>
        <v>6</v>
      </c>
      <c r="D29" s="135"/>
      <c r="E29" s="135"/>
      <c r="F29" s="135"/>
      <c r="G29" s="135"/>
      <c r="H29" s="135"/>
      <c r="I29" s="147"/>
      <c r="J29" s="147"/>
      <c r="K29" s="147"/>
      <c r="L29" s="147"/>
      <c r="M29" s="147"/>
      <c r="N29" s="148"/>
      <c r="O29" s="148"/>
      <c r="P29" s="148"/>
      <c r="Q29" s="148"/>
      <c r="R29" s="148"/>
      <c r="S29" s="149"/>
      <c r="T29" s="149"/>
      <c r="U29" s="149"/>
      <c r="V29" s="149"/>
      <c r="W29" s="150"/>
      <c r="X29" s="150"/>
      <c r="Y29" s="150"/>
      <c r="Z29" s="150"/>
      <c r="AA29" s="150"/>
      <c r="AB29" s="150"/>
      <c r="AC29" s="150"/>
      <c r="AD29" s="150"/>
      <c r="AE29" s="146"/>
      <c r="AF29" s="146"/>
      <c r="AG29" s="232">
        <f>SUM(AG30:AG34)</f>
        <v>81485.179487179485</v>
      </c>
      <c r="AH29" s="232">
        <f>SUM(AH30:AH34)</f>
        <v>977822.15384615376</v>
      </c>
      <c r="AI29" s="151"/>
      <c r="AJ29" s="151"/>
    </row>
    <row r="30" spans="2:43">
      <c r="B30" s="153" t="s">
        <v>214</v>
      </c>
      <c r="C30" s="110">
        <v>1</v>
      </c>
      <c r="D30" s="110">
        <v>0</v>
      </c>
      <c r="E30" s="110">
        <v>0</v>
      </c>
      <c r="F30" s="110">
        <v>0</v>
      </c>
      <c r="G30" s="110">
        <v>1</v>
      </c>
      <c r="H30" s="111">
        <v>15000</v>
      </c>
      <c r="I30" s="112">
        <f t="shared" ref="I30:I34" si="0">H30*D30*$C$3</f>
        <v>0</v>
      </c>
      <c r="J30" s="112">
        <f t="shared" ref="J30:J34" si="1">SUM(H30:I30)*$C$4*E30</f>
        <v>0</v>
      </c>
      <c r="K30" s="112">
        <f t="shared" ref="K30:K34" si="2">SUM(H30:J30)*$C$5*F30</f>
        <v>0</v>
      </c>
      <c r="L30" s="112">
        <f t="shared" ref="L30:L34" si="3">SUM(I30:K30)</f>
        <v>0</v>
      </c>
      <c r="M30" s="112">
        <f t="shared" ref="M30:M34" si="4">L30+H30</f>
        <v>15000</v>
      </c>
      <c r="N30" s="112">
        <f t="shared" ref="N30:N34" si="5">M30*$C$9</f>
        <v>1250</v>
      </c>
      <c r="O30" s="112">
        <f t="shared" ref="O30:O34" si="6">M30*$C$8</f>
        <v>416.66666666666663</v>
      </c>
      <c r="P30" s="112">
        <f t="shared" ref="P30:P34" si="7">M30*$C$10</f>
        <v>250</v>
      </c>
      <c r="Q30" s="112">
        <f t="shared" ref="Q30:Q34" si="8">M30*$C$11</f>
        <v>600</v>
      </c>
      <c r="R30" s="112">
        <f t="shared" ref="R30:R34" si="9">SUM(N30:Q30)</f>
        <v>2516.6666666666665</v>
      </c>
      <c r="S30" s="112">
        <f t="shared" ref="S30:S34" si="10">SUM($M30:$O30)*$C$14</f>
        <v>3333.3333333333339</v>
      </c>
      <c r="T30" s="112">
        <f t="shared" ref="T30:T34" si="11">SUM($M30:$O30)*$C$15</f>
        <v>1333.3333333333335</v>
      </c>
      <c r="U30" s="112">
        <f t="shared" ref="U30:U34" si="12">SUM($M30:$O30)*$C$16</f>
        <v>833.33333333333348</v>
      </c>
      <c r="V30" s="112">
        <f t="shared" ref="V30:V34" si="13">SUM(S30:U30)</f>
        <v>5500.0000000000018</v>
      </c>
      <c r="W30" s="112">
        <f t="shared" ref="W30:W34" si="14">$C$19</f>
        <v>660</v>
      </c>
      <c r="X30" s="112">
        <f t="shared" ref="X30:X34" si="15">$C$20</f>
        <v>300</v>
      </c>
      <c r="Y30" s="112">
        <f t="shared" ref="Y30:Y34" si="16">$C$21</f>
        <v>250</v>
      </c>
      <c r="Z30" s="112">
        <f t="shared" ref="Z30:Z34" si="17">$C$23*H30</f>
        <v>360</v>
      </c>
      <c r="AA30" s="112">
        <f t="shared" ref="AA30:AA34" si="18">H30*$C$24</f>
        <v>0</v>
      </c>
      <c r="AB30" s="112">
        <f t="shared" ref="AB30:AB34" si="19">$C$22</f>
        <v>0</v>
      </c>
      <c r="AC30" s="112">
        <f t="shared" ref="AC30:AC34" si="20">$C$25*G30*H30/12</f>
        <v>2500</v>
      </c>
      <c r="AD30" s="112">
        <f t="shared" ref="AD30:AD34" si="21">SUM(W30:AC30)</f>
        <v>4070</v>
      </c>
      <c r="AE30" s="112">
        <f>AD30+V30+M30+R30</f>
        <v>27086.666666666668</v>
      </c>
      <c r="AF30" s="113">
        <f t="shared" ref="AF30:AF34" si="22">AE30/H30</f>
        <v>1.8057777777777779</v>
      </c>
      <c r="AG30" s="112">
        <f>AE30*C30</f>
        <v>27086.666666666668</v>
      </c>
      <c r="AH30" s="112">
        <f>AG30*12</f>
        <v>325040</v>
      </c>
      <c r="AI30" s="109"/>
      <c r="AJ30" s="109"/>
      <c r="AL30" s="114" t="e">
        <f>#REF!</f>
        <v>#REF!</v>
      </c>
      <c r="AM30" s="114" t="e">
        <f>#REF!-AL30</f>
        <v>#REF!</v>
      </c>
      <c r="AN30" s="114" t="e">
        <f>#REF!</f>
        <v>#REF!</v>
      </c>
      <c r="AO30" s="114" t="e">
        <f>#REF!</f>
        <v>#REF!</v>
      </c>
      <c r="AP30" s="114" t="e">
        <f>#REF!</f>
        <v>#REF!</v>
      </c>
      <c r="AQ30" s="114" t="e">
        <f>SUM(AL30:AP30)</f>
        <v>#REF!</v>
      </c>
    </row>
    <row r="31" spans="2:43">
      <c r="B31" s="154" t="s">
        <v>215</v>
      </c>
      <c r="C31" s="116">
        <v>1</v>
      </c>
      <c r="D31" s="110">
        <v>0</v>
      </c>
      <c r="E31" s="116">
        <v>0</v>
      </c>
      <c r="F31" s="110">
        <v>0</v>
      </c>
      <c r="G31" s="116">
        <v>1</v>
      </c>
      <c r="H31" s="111">
        <v>7500</v>
      </c>
      <c r="I31" s="112">
        <f t="shared" si="0"/>
        <v>0</v>
      </c>
      <c r="J31" s="112">
        <f t="shared" si="1"/>
        <v>0</v>
      </c>
      <c r="K31" s="112">
        <f t="shared" si="2"/>
        <v>0</v>
      </c>
      <c r="L31" s="112">
        <f t="shared" si="3"/>
        <v>0</v>
      </c>
      <c r="M31" s="112">
        <f t="shared" si="4"/>
        <v>7500</v>
      </c>
      <c r="N31" s="112">
        <f t="shared" si="5"/>
        <v>625</v>
      </c>
      <c r="O31" s="112">
        <f t="shared" si="6"/>
        <v>208.33333333333331</v>
      </c>
      <c r="P31" s="112">
        <f t="shared" si="7"/>
        <v>125</v>
      </c>
      <c r="Q31" s="112">
        <f t="shared" si="8"/>
        <v>300</v>
      </c>
      <c r="R31" s="112">
        <f t="shared" si="9"/>
        <v>1258.3333333333333</v>
      </c>
      <c r="S31" s="112">
        <f t="shared" si="10"/>
        <v>1666.666666666667</v>
      </c>
      <c r="T31" s="112">
        <f t="shared" si="11"/>
        <v>666.66666666666674</v>
      </c>
      <c r="U31" s="112">
        <f t="shared" si="12"/>
        <v>416.66666666666674</v>
      </c>
      <c r="V31" s="112">
        <f t="shared" si="13"/>
        <v>2750.0000000000009</v>
      </c>
      <c r="W31" s="112">
        <f t="shared" si="14"/>
        <v>660</v>
      </c>
      <c r="X31" s="112">
        <f t="shared" si="15"/>
        <v>300</v>
      </c>
      <c r="Y31" s="112">
        <f t="shared" si="16"/>
        <v>250</v>
      </c>
      <c r="Z31" s="112">
        <f t="shared" si="17"/>
        <v>180</v>
      </c>
      <c r="AA31" s="112">
        <f t="shared" si="18"/>
        <v>0</v>
      </c>
      <c r="AB31" s="112">
        <f t="shared" si="19"/>
        <v>0</v>
      </c>
      <c r="AC31" s="112">
        <f t="shared" si="20"/>
        <v>1250</v>
      </c>
      <c r="AD31" s="112">
        <f t="shared" si="21"/>
        <v>2640</v>
      </c>
      <c r="AE31" s="112">
        <f t="shared" ref="AE31:AE34" si="23">AD31+V31+M31+R31</f>
        <v>14148.333333333334</v>
      </c>
      <c r="AF31" s="112">
        <f t="shared" si="22"/>
        <v>1.8864444444444446</v>
      </c>
      <c r="AG31" s="112">
        <f t="shared" ref="AG31:AG34" si="24">AE31*C31</f>
        <v>14148.333333333334</v>
      </c>
      <c r="AH31" s="112">
        <f t="shared" ref="AH31:AH34" si="25">AG31*12</f>
        <v>169780</v>
      </c>
      <c r="AI31" s="115"/>
      <c r="AJ31" s="115"/>
      <c r="AQ31" s="118" t="e">
        <f>AQ30/AL30</f>
        <v>#REF!</v>
      </c>
    </row>
    <row r="32" spans="2:43">
      <c r="B32" s="154" t="s">
        <v>455</v>
      </c>
      <c r="C32" s="116">
        <v>2</v>
      </c>
      <c r="D32" s="110">
        <v>0</v>
      </c>
      <c r="E32" s="116">
        <v>0</v>
      </c>
      <c r="F32" s="110">
        <v>0</v>
      </c>
      <c r="G32" s="116">
        <v>1</v>
      </c>
      <c r="H32" s="111">
        <v>3500</v>
      </c>
      <c r="I32" s="112">
        <f t="shared" ref="I32" si="26">H32*D32*$C$3</f>
        <v>0</v>
      </c>
      <c r="J32" s="112">
        <f t="shared" ref="J32" si="27">SUM(H32:I32)*$C$4*E32</f>
        <v>0</v>
      </c>
      <c r="K32" s="112">
        <f t="shared" ref="K32" si="28">SUM(H32:J32)*$C$5*F32</f>
        <v>0</v>
      </c>
      <c r="L32" s="112">
        <f t="shared" ref="L32" si="29">SUM(I32:K32)</f>
        <v>0</v>
      </c>
      <c r="M32" s="112">
        <f t="shared" ref="M32" si="30">L32+H32</f>
        <v>3500</v>
      </c>
      <c r="N32" s="117">
        <f t="shared" ref="N32" si="31">M32*$C$9</f>
        <v>291.66666666666663</v>
      </c>
      <c r="O32" s="117">
        <f t="shared" ref="O32" si="32">M32*$C$8</f>
        <v>97.222222222222214</v>
      </c>
      <c r="P32" s="117">
        <f t="shared" ref="P32" si="33">M32*$C$10</f>
        <v>58.333333333333336</v>
      </c>
      <c r="Q32" s="117">
        <f t="shared" ref="Q32" si="34">M32*$C$11</f>
        <v>140</v>
      </c>
      <c r="R32" s="112">
        <f t="shared" ref="R32" si="35">SUM(N32:Q32)</f>
        <v>587.22222222222217</v>
      </c>
      <c r="S32" s="112">
        <f t="shared" si="10"/>
        <v>777.77777777777783</v>
      </c>
      <c r="T32" s="112">
        <f t="shared" si="11"/>
        <v>311.11111111111109</v>
      </c>
      <c r="U32" s="112">
        <f t="shared" si="12"/>
        <v>194.44444444444446</v>
      </c>
      <c r="V32" s="112">
        <f t="shared" ref="V32" si="36">SUM(S32:U32)</f>
        <v>1283.3333333333335</v>
      </c>
      <c r="W32" s="112">
        <f t="shared" si="14"/>
        <v>660</v>
      </c>
      <c r="X32" s="112">
        <f t="shared" si="15"/>
        <v>300</v>
      </c>
      <c r="Y32" s="112">
        <f t="shared" si="16"/>
        <v>250</v>
      </c>
      <c r="Z32" s="112">
        <f t="shared" ref="Z32" si="37">$C$23*H32</f>
        <v>84</v>
      </c>
      <c r="AA32" s="112">
        <f t="shared" ref="AA32" si="38">H32*$C$24</f>
        <v>0</v>
      </c>
      <c r="AB32" s="112">
        <f t="shared" si="19"/>
        <v>0</v>
      </c>
      <c r="AC32" s="112">
        <f t="shared" ref="AC32" si="39">$C$25*G32*H32/12</f>
        <v>583.33333333333337</v>
      </c>
      <c r="AD32" s="112">
        <f t="shared" ref="AD32" si="40">SUM(W32:AC32)</f>
        <v>1877.3333333333335</v>
      </c>
      <c r="AE32" s="112">
        <f t="shared" ref="AE32" si="41">AD32+V32+M32+R32</f>
        <v>7247.8888888888887</v>
      </c>
      <c r="AF32" s="112">
        <f t="shared" ref="AF32" si="42">AE32/H32</f>
        <v>2.0708253968253967</v>
      </c>
      <c r="AG32" s="112">
        <f t="shared" ref="AG32" si="43">AE32*C32</f>
        <v>14495.777777777777</v>
      </c>
      <c r="AH32" s="112">
        <f t="shared" ref="AH32" si="44">AG32*12</f>
        <v>173949.33333333331</v>
      </c>
      <c r="AI32" s="115"/>
      <c r="AJ32" s="115"/>
    </row>
    <row r="33" spans="1:43">
      <c r="A33" s="119"/>
      <c r="B33" s="154" t="s">
        <v>454</v>
      </c>
      <c r="C33" s="116">
        <v>1</v>
      </c>
      <c r="D33" s="110">
        <v>0</v>
      </c>
      <c r="E33" s="116">
        <v>1</v>
      </c>
      <c r="F33" s="110">
        <v>0</v>
      </c>
      <c r="G33" s="116">
        <v>1</v>
      </c>
      <c r="H33" s="111">
        <v>5000</v>
      </c>
      <c r="I33" s="112">
        <f t="shared" si="0"/>
        <v>0</v>
      </c>
      <c r="J33" s="112">
        <f t="shared" si="1"/>
        <v>1153.8461538461538</v>
      </c>
      <c r="K33" s="112">
        <f t="shared" si="2"/>
        <v>0</v>
      </c>
      <c r="L33" s="112">
        <f t="shared" si="3"/>
        <v>1153.8461538461538</v>
      </c>
      <c r="M33" s="112">
        <f t="shared" si="4"/>
        <v>6153.8461538461543</v>
      </c>
      <c r="N33" s="112">
        <f t="shared" si="5"/>
        <v>512.82051282051282</v>
      </c>
      <c r="O33" s="112">
        <f t="shared" si="6"/>
        <v>170.94017094017093</v>
      </c>
      <c r="P33" s="112">
        <f t="shared" si="7"/>
        <v>102.56410256410257</v>
      </c>
      <c r="Q33" s="112">
        <f t="shared" si="8"/>
        <v>246.15384615384619</v>
      </c>
      <c r="R33" s="112">
        <f t="shared" si="9"/>
        <v>1032.4786324786323</v>
      </c>
      <c r="S33" s="112">
        <f t="shared" si="10"/>
        <v>1367.5213675213677</v>
      </c>
      <c r="T33" s="112">
        <f t="shared" si="11"/>
        <v>547.008547008547</v>
      </c>
      <c r="U33" s="112">
        <f t="shared" si="12"/>
        <v>341.88034188034192</v>
      </c>
      <c r="V33" s="112">
        <f t="shared" si="13"/>
        <v>2256.4102564102564</v>
      </c>
      <c r="W33" s="112">
        <f t="shared" si="14"/>
        <v>660</v>
      </c>
      <c r="X33" s="112">
        <f t="shared" si="15"/>
        <v>300</v>
      </c>
      <c r="Y33" s="112">
        <f t="shared" si="16"/>
        <v>250</v>
      </c>
      <c r="Z33" s="112">
        <f t="shared" si="17"/>
        <v>120</v>
      </c>
      <c r="AA33" s="112">
        <f t="shared" si="18"/>
        <v>0</v>
      </c>
      <c r="AB33" s="112">
        <f t="shared" si="19"/>
        <v>0</v>
      </c>
      <c r="AC33" s="112">
        <f t="shared" si="20"/>
        <v>833.33333333333337</v>
      </c>
      <c r="AD33" s="112">
        <f t="shared" si="21"/>
        <v>2163.3333333333335</v>
      </c>
      <c r="AE33" s="112">
        <f t="shared" si="23"/>
        <v>11606.068376068377</v>
      </c>
      <c r="AF33" s="112">
        <f t="shared" si="22"/>
        <v>2.3212136752136754</v>
      </c>
      <c r="AG33" s="112">
        <f t="shared" si="24"/>
        <v>11606.068376068377</v>
      </c>
      <c r="AH33" s="112">
        <f t="shared" si="25"/>
        <v>139272.82051282053</v>
      </c>
      <c r="AI33" s="115"/>
      <c r="AJ33" s="115"/>
    </row>
    <row r="34" spans="1:43">
      <c r="B34" s="154" t="s">
        <v>216</v>
      </c>
      <c r="C34" s="116">
        <v>1</v>
      </c>
      <c r="D34" s="110">
        <v>0</v>
      </c>
      <c r="E34" s="116">
        <v>0</v>
      </c>
      <c r="F34" s="116">
        <v>0</v>
      </c>
      <c r="G34" s="116">
        <v>1</v>
      </c>
      <c r="H34" s="111">
        <v>7500</v>
      </c>
      <c r="I34" s="112">
        <f t="shared" si="0"/>
        <v>0</v>
      </c>
      <c r="J34" s="112">
        <f t="shared" si="1"/>
        <v>0</v>
      </c>
      <c r="K34" s="112">
        <f t="shared" si="2"/>
        <v>0</v>
      </c>
      <c r="L34" s="112">
        <f t="shared" si="3"/>
        <v>0</v>
      </c>
      <c r="M34" s="112">
        <f t="shared" si="4"/>
        <v>7500</v>
      </c>
      <c r="N34" s="112">
        <f t="shared" si="5"/>
        <v>625</v>
      </c>
      <c r="O34" s="112">
        <f t="shared" si="6"/>
        <v>208.33333333333331</v>
      </c>
      <c r="P34" s="112">
        <f t="shared" si="7"/>
        <v>125</v>
      </c>
      <c r="Q34" s="112">
        <f t="shared" si="8"/>
        <v>300</v>
      </c>
      <c r="R34" s="112">
        <f t="shared" si="9"/>
        <v>1258.3333333333333</v>
      </c>
      <c r="S34" s="112">
        <f t="shared" si="10"/>
        <v>1666.666666666667</v>
      </c>
      <c r="T34" s="112">
        <f t="shared" si="11"/>
        <v>666.66666666666674</v>
      </c>
      <c r="U34" s="112">
        <f t="shared" si="12"/>
        <v>416.66666666666674</v>
      </c>
      <c r="V34" s="112">
        <f t="shared" si="13"/>
        <v>2750.0000000000009</v>
      </c>
      <c r="W34" s="112">
        <f t="shared" si="14"/>
        <v>660</v>
      </c>
      <c r="X34" s="112">
        <f t="shared" si="15"/>
        <v>300</v>
      </c>
      <c r="Y34" s="112">
        <f t="shared" si="16"/>
        <v>250</v>
      </c>
      <c r="Z34" s="112">
        <f t="shared" si="17"/>
        <v>180</v>
      </c>
      <c r="AA34" s="112">
        <f t="shared" si="18"/>
        <v>0</v>
      </c>
      <c r="AB34" s="112">
        <f t="shared" si="19"/>
        <v>0</v>
      </c>
      <c r="AC34" s="112">
        <f t="shared" si="20"/>
        <v>1250</v>
      </c>
      <c r="AD34" s="112">
        <f t="shared" si="21"/>
        <v>2640</v>
      </c>
      <c r="AE34" s="112">
        <f t="shared" si="23"/>
        <v>14148.333333333334</v>
      </c>
      <c r="AF34" s="112">
        <f t="shared" si="22"/>
        <v>1.8864444444444446</v>
      </c>
      <c r="AG34" s="112">
        <f t="shared" si="24"/>
        <v>14148.333333333334</v>
      </c>
      <c r="AH34" s="112">
        <f t="shared" si="25"/>
        <v>169780</v>
      </c>
      <c r="AI34" s="115"/>
      <c r="AJ34" s="115"/>
    </row>
    <row r="35" spans="1:43" ht="15" customHeight="1">
      <c r="B35" s="152" t="s">
        <v>248</v>
      </c>
      <c r="C35" s="135">
        <f>SUM(C36:C39)</f>
        <v>10</v>
      </c>
      <c r="D35" s="135"/>
      <c r="E35" s="135"/>
      <c r="F35" s="135"/>
      <c r="G35" s="135"/>
      <c r="H35" s="135"/>
      <c r="I35" s="147"/>
      <c r="J35" s="147"/>
      <c r="K35" s="147"/>
      <c r="L35" s="147"/>
      <c r="M35" s="147"/>
      <c r="N35" s="148"/>
      <c r="O35" s="148"/>
      <c r="P35" s="148"/>
      <c r="Q35" s="148"/>
      <c r="R35" s="148"/>
      <c r="S35" s="149"/>
      <c r="T35" s="149"/>
      <c r="U35" s="149"/>
      <c r="V35" s="149"/>
      <c r="W35" s="150"/>
      <c r="X35" s="150"/>
      <c r="Y35" s="150"/>
      <c r="Z35" s="150"/>
      <c r="AA35" s="150"/>
      <c r="AB35" s="150"/>
      <c r="AC35" s="150"/>
      <c r="AD35" s="150"/>
      <c r="AE35" s="146"/>
      <c r="AF35" s="146"/>
      <c r="AG35" s="232">
        <f>SUM(AG36:AG39)</f>
        <v>79428.370769230765</v>
      </c>
      <c r="AH35" s="232">
        <f>SUM(AH36:AH39)</f>
        <v>953140.44923076942</v>
      </c>
      <c r="AI35" s="151"/>
      <c r="AJ35" s="151"/>
    </row>
    <row r="36" spans="1:43">
      <c r="A36" s="119"/>
      <c r="B36" s="154" t="s">
        <v>460</v>
      </c>
      <c r="C36" s="116">
        <v>1</v>
      </c>
      <c r="D36" s="110">
        <v>1</v>
      </c>
      <c r="E36" s="116">
        <v>0</v>
      </c>
      <c r="F36" s="110">
        <v>0</v>
      </c>
      <c r="G36" s="116">
        <v>1</v>
      </c>
      <c r="H36" s="111">
        <v>3500</v>
      </c>
      <c r="I36" s="112">
        <f t="shared" ref="I36:I39" si="45">H36*D36*$C$3</f>
        <v>1400</v>
      </c>
      <c r="J36" s="112">
        <f>SUM(H36:I36)*$C$4*E36</f>
        <v>0</v>
      </c>
      <c r="K36" s="112">
        <f>SUM(H36:J36)*$C$5*F36</f>
        <v>0</v>
      </c>
      <c r="L36" s="112">
        <f t="shared" ref="L36:L39" si="46">SUM(I36:K36)</f>
        <v>1400</v>
      </c>
      <c r="M36" s="112">
        <f>L36+H36</f>
        <v>4900</v>
      </c>
      <c r="N36" s="117">
        <f t="shared" ref="N36:N39" si="47">M36*$C$9</f>
        <v>408.33333333333331</v>
      </c>
      <c r="O36" s="117">
        <f t="shared" ref="O36:O39" si="48">M36*$C$8</f>
        <v>136.11111111111111</v>
      </c>
      <c r="P36" s="117">
        <f t="shared" ref="P36:P39" si="49">M36*$C$10</f>
        <v>81.666666666666671</v>
      </c>
      <c r="Q36" s="117">
        <f t="shared" ref="Q36:Q39" si="50">M36*$C$11</f>
        <v>196</v>
      </c>
      <c r="R36" s="112">
        <f t="shared" ref="R36:R39" si="51">SUM(N36:Q36)</f>
        <v>822.11111111111109</v>
      </c>
      <c r="S36" s="112">
        <f t="shared" ref="S36:S43" si="52">SUM($M36:$O36)*$C$14</f>
        <v>1088.8888888888889</v>
      </c>
      <c r="T36" s="112">
        <f t="shared" ref="T36:T43" si="53">SUM($M36:$O36)*$C$15</f>
        <v>435.55555555555554</v>
      </c>
      <c r="U36" s="112">
        <f t="shared" ref="U36:U43" si="54">SUM($M36:$O36)*$C$16</f>
        <v>272.22222222222223</v>
      </c>
      <c r="V36" s="112">
        <f t="shared" ref="V36:V39" si="55">SUM(S36:U36)</f>
        <v>1796.6666666666665</v>
      </c>
      <c r="W36" s="112">
        <f t="shared" ref="W36:W43" si="56">$C$19</f>
        <v>660</v>
      </c>
      <c r="X36" s="112">
        <f t="shared" ref="X36:X43" si="57">$C$20</f>
        <v>300</v>
      </c>
      <c r="Y36" s="112">
        <f t="shared" ref="Y36:Y43" si="58">$C$21</f>
        <v>250</v>
      </c>
      <c r="Z36" s="112">
        <f t="shared" ref="Z36:Z39" si="59">$C$23*H36</f>
        <v>84</v>
      </c>
      <c r="AA36" s="112">
        <f t="shared" ref="AA36:AA39" si="60">H36*$C$24</f>
        <v>0</v>
      </c>
      <c r="AB36" s="112">
        <f t="shared" ref="AB36:AB43" si="61">$C$22</f>
        <v>0</v>
      </c>
      <c r="AC36" s="112">
        <f t="shared" ref="AC36:AC39" si="62">$C$25*G36*H36/12</f>
        <v>583.33333333333337</v>
      </c>
      <c r="AD36" s="112">
        <f t="shared" ref="AD36:AD39" si="63">SUM(W36:AC36)</f>
        <v>1877.3333333333335</v>
      </c>
      <c r="AE36" s="112">
        <f t="shared" ref="AE36:AE39" si="64">AD36+V36+M36+R36</f>
        <v>9396.1111111111113</v>
      </c>
      <c r="AF36" s="112">
        <f t="shared" ref="AF36:AF44" si="65">AE36/H36</f>
        <v>2.6846031746031747</v>
      </c>
      <c r="AG36" s="112">
        <f t="shared" ref="AG36:AG39" si="66">AE36*C36</f>
        <v>9396.1111111111113</v>
      </c>
      <c r="AH36" s="112">
        <f t="shared" ref="AH36:AH39" si="67">AG36*12</f>
        <v>112753.33333333334</v>
      </c>
      <c r="AI36" s="115"/>
      <c r="AJ36" s="115"/>
    </row>
    <row r="37" spans="1:43">
      <c r="B37" s="154" t="s">
        <v>456</v>
      </c>
      <c r="C37" s="116">
        <v>1</v>
      </c>
      <c r="D37" s="110">
        <v>1</v>
      </c>
      <c r="E37" s="116">
        <v>0</v>
      </c>
      <c r="F37" s="116">
        <v>1</v>
      </c>
      <c r="G37" s="116">
        <v>1</v>
      </c>
      <c r="H37" s="111">
        <v>3500</v>
      </c>
      <c r="I37" s="112">
        <f t="shared" si="45"/>
        <v>1400</v>
      </c>
      <c r="J37" s="112">
        <f t="shared" ref="J37:J39" si="68">SUM(H37:I37)*$C$4*E37</f>
        <v>0</v>
      </c>
      <c r="K37" s="112">
        <f t="shared" ref="K37:K39" si="69">SUM(H37:J37)*$C$5*F37</f>
        <v>489.99999999999994</v>
      </c>
      <c r="L37" s="112">
        <f t="shared" si="46"/>
        <v>1890</v>
      </c>
      <c r="M37" s="112">
        <f t="shared" ref="M37:M39" si="70">L37+H37</f>
        <v>5390</v>
      </c>
      <c r="N37" s="117">
        <f t="shared" si="47"/>
        <v>449.16666666666663</v>
      </c>
      <c r="O37" s="117">
        <f t="shared" si="48"/>
        <v>149.7222222222222</v>
      </c>
      <c r="P37" s="117">
        <f t="shared" si="49"/>
        <v>89.833333333333329</v>
      </c>
      <c r="Q37" s="117">
        <f t="shared" si="50"/>
        <v>215.6</v>
      </c>
      <c r="R37" s="112">
        <f t="shared" si="51"/>
        <v>904.32222222222219</v>
      </c>
      <c r="S37" s="112">
        <f t="shared" si="52"/>
        <v>1197.7777777777781</v>
      </c>
      <c r="T37" s="112">
        <f t="shared" si="53"/>
        <v>479.1111111111112</v>
      </c>
      <c r="U37" s="112">
        <f t="shared" si="54"/>
        <v>299.44444444444451</v>
      </c>
      <c r="V37" s="112">
        <f t="shared" si="55"/>
        <v>1976.3333333333337</v>
      </c>
      <c r="W37" s="112">
        <f t="shared" si="56"/>
        <v>660</v>
      </c>
      <c r="X37" s="112">
        <f t="shared" si="57"/>
        <v>300</v>
      </c>
      <c r="Y37" s="112">
        <f t="shared" si="58"/>
        <v>250</v>
      </c>
      <c r="Z37" s="112">
        <f t="shared" si="59"/>
        <v>84</v>
      </c>
      <c r="AA37" s="112">
        <f t="shared" si="60"/>
        <v>0</v>
      </c>
      <c r="AB37" s="112">
        <f t="shared" si="61"/>
        <v>0</v>
      </c>
      <c r="AC37" s="112">
        <f t="shared" si="62"/>
        <v>583.33333333333337</v>
      </c>
      <c r="AD37" s="112">
        <f t="shared" si="63"/>
        <v>1877.3333333333335</v>
      </c>
      <c r="AE37" s="112">
        <f t="shared" si="64"/>
        <v>10147.988888888891</v>
      </c>
      <c r="AF37" s="112">
        <f t="shared" si="65"/>
        <v>2.8994253968253973</v>
      </c>
      <c r="AG37" s="112">
        <f t="shared" si="66"/>
        <v>10147.988888888891</v>
      </c>
      <c r="AH37" s="112">
        <f t="shared" si="67"/>
        <v>121775.8666666667</v>
      </c>
      <c r="AI37" s="115"/>
      <c r="AJ37" s="115"/>
    </row>
    <row r="38" spans="1:43" ht="15.95" customHeight="1">
      <c r="B38" s="154" t="s">
        <v>249</v>
      </c>
      <c r="C38" s="120">
        <v>4</v>
      </c>
      <c r="D38" s="110">
        <v>1</v>
      </c>
      <c r="E38" s="116">
        <v>1</v>
      </c>
      <c r="F38" s="116">
        <v>1</v>
      </c>
      <c r="G38" s="116">
        <v>1</v>
      </c>
      <c r="H38" s="111">
        <v>2500</v>
      </c>
      <c r="I38" s="112">
        <f>H38*D38*$C$3</f>
        <v>1000</v>
      </c>
      <c r="J38" s="112">
        <f>SUM(H38:I38)*$C$4*E38</f>
        <v>807.69230769230774</v>
      </c>
      <c r="K38" s="112">
        <f>SUM(H38:J38)*$C$5*F38</f>
        <v>430.76923076923072</v>
      </c>
      <c r="L38" s="112">
        <f>SUM(I38:K38)</f>
        <v>2238.4615384615381</v>
      </c>
      <c r="M38" s="112">
        <f>L38+H38</f>
        <v>4738.4615384615381</v>
      </c>
      <c r="N38" s="117">
        <f>M38*$C$9</f>
        <v>394.8717948717948</v>
      </c>
      <c r="O38" s="117">
        <f>M38*$C$8</f>
        <v>131.62393162393161</v>
      </c>
      <c r="P38" s="117">
        <f>M38*$C$10</f>
        <v>78.974358974358964</v>
      </c>
      <c r="Q38" s="117">
        <f>M38*$C$11</f>
        <v>189.53846153846152</v>
      </c>
      <c r="R38" s="112">
        <f>SUM(N38:Q38)</f>
        <v>795.008547008547</v>
      </c>
      <c r="S38" s="112">
        <f>SUM($M38:$O38)*$C$14</f>
        <v>1052.9914529914529</v>
      </c>
      <c r="T38" s="112">
        <f>SUM($M38:$O38)*$C$15</f>
        <v>421.19658119658118</v>
      </c>
      <c r="U38" s="112">
        <f>SUM($M38:$O38)*$C$16</f>
        <v>263.24786324786322</v>
      </c>
      <c r="V38" s="112">
        <f>SUM(S38:U38)</f>
        <v>1737.4358974358975</v>
      </c>
      <c r="W38" s="112">
        <f t="shared" si="56"/>
        <v>660</v>
      </c>
      <c r="X38" s="112">
        <f t="shared" si="57"/>
        <v>300</v>
      </c>
      <c r="Y38" s="112">
        <f t="shared" si="58"/>
        <v>250</v>
      </c>
      <c r="Z38" s="112">
        <f>$C$23*H38</f>
        <v>60</v>
      </c>
      <c r="AA38" s="112">
        <f>H38*$C$24</f>
        <v>0</v>
      </c>
      <c r="AB38" s="112">
        <f t="shared" si="61"/>
        <v>0</v>
      </c>
      <c r="AC38" s="112">
        <f>$C$25*G38*H38/12</f>
        <v>416.66666666666669</v>
      </c>
      <c r="AD38" s="112">
        <f>SUM(W38:AC38)</f>
        <v>1686.6666666666667</v>
      </c>
      <c r="AE38" s="112">
        <f>AD38+V38+M38+R38</f>
        <v>8957.5726495726503</v>
      </c>
      <c r="AF38" s="112">
        <f>AE38/H38</f>
        <v>3.5830290598290602</v>
      </c>
      <c r="AG38" s="112">
        <f>AE38*C38</f>
        <v>35830.290598290601</v>
      </c>
      <c r="AH38" s="112">
        <f>AG38*12</f>
        <v>429963.48717948725</v>
      </c>
      <c r="AI38" s="115"/>
      <c r="AJ38" s="115"/>
    </row>
    <row r="39" spans="1:43" ht="15.95" customHeight="1">
      <c r="B39" s="154" t="s">
        <v>457</v>
      </c>
      <c r="C39" s="116">
        <v>4</v>
      </c>
      <c r="D39" s="110">
        <v>1</v>
      </c>
      <c r="E39" s="116">
        <v>1</v>
      </c>
      <c r="F39" s="116">
        <v>1</v>
      </c>
      <c r="G39" s="116">
        <v>1</v>
      </c>
      <c r="H39" s="111">
        <v>1550</v>
      </c>
      <c r="I39" s="112">
        <f t="shared" si="45"/>
        <v>620</v>
      </c>
      <c r="J39" s="112">
        <f t="shared" si="68"/>
        <v>500.76923076923077</v>
      </c>
      <c r="K39" s="112">
        <f t="shared" si="69"/>
        <v>267.07692307692309</v>
      </c>
      <c r="L39" s="112">
        <f t="shared" si="46"/>
        <v>1387.8461538461538</v>
      </c>
      <c r="M39" s="112">
        <f t="shared" si="70"/>
        <v>2937.8461538461538</v>
      </c>
      <c r="N39" s="117">
        <f t="shared" si="47"/>
        <v>244.82051282051282</v>
      </c>
      <c r="O39" s="117">
        <f t="shared" si="48"/>
        <v>81.606837606837601</v>
      </c>
      <c r="P39" s="117">
        <f t="shared" si="49"/>
        <v>48.964102564102561</v>
      </c>
      <c r="Q39" s="117">
        <f t="shared" si="50"/>
        <v>117.51384615384616</v>
      </c>
      <c r="R39" s="112">
        <f t="shared" si="51"/>
        <v>492.90529914529913</v>
      </c>
      <c r="S39" s="112">
        <f t="shared" si="52"/>
        <v>652.85470085470081</v>
      </c>
      <c r="T39" s="112">
        <f t="shared" si="53"/>
        <v>261.14188034188032</v>
      </c>
      <c r="U39" s="112">
        <f t="shared" si="54"/>
        <v>163.2136752136752</v>
      </c>
      <c r="V39" s="112">
        <f t="shared" si="55"/>
        <v>1077.2102564102563</v>
      </c>
      <c r="W39" s="112">
        <f t="shared" si="56"/>
        <v>660</v>
      </c>
      <c r="X39" s="112">
        <f t="shared" si="57"/>
        <v>300</v>
      </c>
      <c r="Y39" s="112">
        <f t="shared" si="58"/>
        <v>250</v>
      </c>
      <c r="Z39" s="112">
        <f t="shared" si="59"/>
        <v>37.200000000000003</v>
      </c>
      <c r="AA39" s="112">
        <f t="shared" si="60"/>
        <v>0</v>
      </c>
      <c r="AB39" s="112">
        <f t="shared" si="61"/>
        <v>0</v>
      </c>
      <c r="AC39" s="112">
        <f t="shared" si="62"/>
        <v>258.33333333333331</v>
      </c>
      <c r="AD39" s="112">
        <f t="shared" si="63"/>
        <v>1505.5333333333333</v>
      </c>
      <c r="AE39" s="112">
        <f t="shared" si="64"/>
        <v>6013.4950427350432</v>
      </c>
      <c r="AF39" s="112">
        <f t="shared" si="65"/>
        <v>3.8796742211193829</v>
      </c>
      <c r="AG39" s="112">
        <f t="shared" si="66"/>
        <v>24053.980170940173</v>
      </c>
      <c r="AH39" s="112">
        <f t="shared" si="67"/>
        <v>288647.7620512821</v>
      </c>
      <c r="AI39" s="115"/>
      <c r="AJ39" s="115"/>
    </row>
    <row r="40" spans="1:43">
      <c r="B40" s="152" t="s">
        <v>458</v>
      </c>
      <c r="C40" s="135">
        <f>SUM(C41)</f>
        <v>1</v>
      </c>
      <c r="D40" s="135"/>
      <c r="E40" s="135"/>
      <c r="F40" s="135"/>
      <c r="G40" s="135"/>
      <c r="H40" s="135"/>
      <c r="I40" s="147"/>
      <c r="J40" s="147"/>
      <c r="K40" s="147"/>
      <c r="L40" s="147"/>
      <c r="M40" s="147"/>
      <c r="N40" s="148"/>
      <c r="O40" s="148"/>
      <c r="P40" s="148"/>
      <c r="Q40" s="148"/>
      <c r="R40" s="148"/>
      <c r="S40" s="149"/>
      <c r="T40" s="149"/>
      <c r="U40" s="149"/>
      <c r="V40" s="149"/>
      <c r="W40" s="150"/>
      <c r="X40" s="150"/>
      <c r="Y40" s="150"/>
      <c r="Z40" s="150"/>
      <c r="AA40" s="150"/>
      <c r="AB40" s="150"/>
      <c r="AC40" s="150"/>
      <c r="AD40" s="150"/>
      <c r="AE40" s="146"/>
      <c r="AF40" s="146"/>
      <c r="AG40" s="232">
        <f>SUM(AG41)</f>
        <v>4835.2777777777774</v>
      </c>
      <c r="AH40" s="232">
        <f>SUM(AH41)</f>
        <v>58023.333333333328</v>
      </c>
      <c r="AI40" s="151"/>
      <c r="AJ40" s="151"/>
    </row>
    <row r="41" spans="1:43">
      <c r="B41" s="153" t="s">
        <v>459</v>
      </c>
      <c r="C41" s="110">
        <v>1</v>
      </c>
      <c r="D41" s="110">
        <v>1</v>
      </c>
      <c r="E41" s="110">
        <v>0</v>
      </c>
      <c r="F41" s="110">
        <v>0</v>
      </c>
      <c r="G41" s="110">
        <v>1</v>
      </c>
      <c r="H41" s="111">
        <v>1550</v>
      </c>
      <c r="I41" s="112">
        <f t="shared" ref="I41" si="71">H41*D41*$C$3</f>
        <v>620</v>
      </c>
      <c r="J41" s="112">
        <f t="shared" ref="J41" si="72">SUM(H41:I41)*$C$4*E41</f>
        <v>0</v>
      </c>
      <c r="K41" s="112">
        <f t="shared" ref="K41" si="73">SUM(H41:J41)*$C$5*F41</f>
        <v>0</v>
      </c>
      <c r="L41" s="112">
        <f t="shared" ref="L41" si="74">SUM(I41:K41)</f>
        <v>620</v>
      </c>
      <c r="M41" s="112">
        <f t="shared" ref="M41" si="75">L41+H41</f>
        <v>2170</v>
      </c>
      <c r="N41" s="112">
        <f t="shared" ref="N41" si="76">M41*$C$9</f>
        <v>180.83333333333331</v>
      </c>
      <c r="O41" s="112">
        <f t="shared" ref="O41" si="77">M41*$C$8</f>
        <v>60.277777777777771</v>
      </c>
      <c r="P41" s="112">
        <f t="shared" ref="P41" si="78">M41*$C$10</f>
        <v>36.166666666666664</v>
      </c>
      <c r="Q41" s="112">
        <f t="shared" ref="Q41" si="79">M41*$C$11</f>
        <v>86.8</v>
      </c>
      <c r="R41" s="112">
        <f t="shared" ref="R41" si="80">SUM(N41:Q41)</f>
        <v>364.07777777777778</v>
      </c>
      <c r="S41" s="112">
        <f t="shared" si="52"/>
        <v>482.22222222222229</v>
      </c>
      <c r="T41" s="112">
        <f t="shared" si="53"/>
        <v>192.88888888888891</v>
      </c>
      <c r="U41" s="112">
        <f t="shared" si="54"/>
        <v>120.55555555555557</v>
      </c>
      <c r="V41" s="112">
        <f t="shared" ref="V41" si="81">SUM(S41:U41)</f>
        <v>795.66666666666674</v>
      </c>
      <c r="W41" s="112">
        <f t="shared" si="56"/>
        <v>660</v>
      </c>
      <c r="X41" s="112">
        <f t="shared" si="57"/>
        <v>300</v>
      </c>
      <c r="Y41" s="112">
        <f t="shared" si="58"/>
        <v>250</v>
      </c>
      <c r="Z41" s="112">
        <f t="shared" ref="Z41" si="82">$C$23*H41</f>
        <v>37.200000000000003</v>
      </c>
      <c r="AA41" s="112">
        <f t="shared" ref="AA41" si="83">H41*$C$24</f>
        <v>0</v>
      </c>
      <c r="AB41" s="112">
        <f t="shared" si="61"/>
        <v>0</v>
      </c>
      <c r="AC41" s="112">
        <f t="shared" ref="AC41" si="84">$C$25*G41*H41/12</f>
        <v>258.33333333333331</v>
      </c>
      <c r="AD41" s="112">
        <f t="shared" ref="AD41" si="85">SUM(W41:AC41)</f>
        <v>1505.5333333333333</v>
      </c>
      <c r="AE41" s="112">
        <f t="shared" ref="AE41" si="86">AD41+V41+M41+R41</f>
        <v>4835.2777777777774</v>
      </c>
      <c r="AF41" s="113">
        <f t="shared" ref="AF41" si="87">AE41/H41</f>
        <v>3.1195340501792113</v>
      </c>
      <c r="AG41" s="112">
        <f t="shared" ref="AG41" si="88">AE41*C41</f>
        <v>4835.2777777777774</v>
      </c>
      <c r="AH41" s="112">
        <f>AG41*12</f>
        <v>58023.333333333328</v>
      </c>
      <c r="AI41" s="109"/>
      <c r="AJ41" s="109"/>
      <c r="AL41" s="114">
        <f>H53</f>
        <v>0</v>
      </c>
      <c r="AM41" s="114">
        <f>M53-AL41</f>
        <v>0</v>
      </c>
      <c r="AN41" s="114">
        <f>R53</f>
        <v>0</v>
      </c>
      <c r="AO41" s="114">
        <f>V53</f>
        <v>0</v>
      </c>
      <c r="AP41" s="114">
        <f>AD53</f>
        <v>0</v>
      </c>
      <c r="AQ41" s="114">
        <f>SUM(AL41:AP41)</f>
        <v>0</v>
      </c>
    </row>
    <row r="42" spans="1:43" ht="16.5" customHeight="1">
      <c r="B42" s="152" t="s">
        <v>398</v>
      </c>
      <c r="C42" s="135">
        <f>SUM(C43)</f>
        <v>0</v>
      </c>
      <c r="D42" s="135"/>
      <c r="E42" s="135"/>
      <c r="F42" s="135"/>
      <c r="G42" s="135"/>
      <c r="H42" s="135"/>
      <c r="I42" s="147"/>
      <c r="J42" s="147"/>
      <c r="K42" s="147"/>
      <c r="L42" s="147"/>
      <c r="M42" s="147"/>
      <c r="N42" s="148"/>
      <c r="O42" s="148"/>
      <c r="P42" s="148"/>
      <c r="Q42" s="148"/>
      <c r="R42" s="148"/>
      <c r="S42" s="149"/>
      <c r="T42" s="149"/>
      <c r="U42" s="149"/>
      <c r="V42" s="149"/>
      <c r="W42" s="150"/>
      <c r="X42" s="150"/>
      <c r="Y42" s="150"/>
      <c r="Z42" s="150"/>
      <c r="AA42" s="150"/>
      <c r="AB42" s="150"/>
      <c r="AC42" s="150"/>
      <c r="AD42" s="150"/>
      <c r="AE42" s="146"/>
      <c r="AF42" s="146"/>
      <c r="AG42" s="232">
        <f>SUM(AG43)</f>
        <v>0</v>
      </c>
      <c r="AH42" s="232">
        <f>SUM(AH43)</f>
        <v>0</v>
      </c>
      <c r="AI42" s="151"/>
      <c r="AJ42" s="151"/>
    </row>
    <row r="43" spans="1:43">
      <c r="B43" s="153" t="s">
        <v>459</v>
      </c>
      <c r="C43" s="110">
        <v>0</v>
      </c>
      <c r="D43" s="110">
        <v>1</v>
      </c>
      <c r="E43" s="110">
        <v>0</v>
      </c>
      <c r="F43" s="110">
        <v>0</v>
      </c>
      <c r="G43" s="110">
        <v>1</v>
      </c>
      <c r="H43" s="111">
        <v>1550</v>
      </c>
      <c r="I43" s="112">
        <f t="shared" ref="I43" si="89">H43*D43*$C$3</f>
        <v>620</v>
      </c>
      <c r="J43" s="112">
        <f t="shared" ref="J43" si="90">SUM(H43:I43)*$C$4*E43</f>
        <v>0</v>
      </c>
      <c r="K43" s="112">
        <f t="shared" ref="K43" si="91">SUM(H43:J43)*$C$5*F43</f>
        <v>0</v>
      </c>
      <c r="L43" s="112">
        <f t="shared" ref="L43" si="92">SUM(I43:K43)</f>
        <v>620</v>
      </c>
      <c r="M43" s="112">
        <f t="shared" ref="M43" si="93">L43+H43</f>
        <v>2170</v>
      </c>
      <c r="N43" s="112">
        <f t="shared" ref="N43" si="94">M43*$C$9</f>
        <v>180.83333333333331</v>
      </c>
      <c r="O43" s="112">
        <f t="shared" ref="O43" si="95">M43*$C$8</f>
        <v>60.277777777777771</v>
      </c>
      <c r="P43" s="112">
        <f t="shared" ref="P43" si="96">M43*$C$10</f>
        <v>36.166666666666664</v>
      </c>
      <c r="Q43" s="112">
        <f t="shared" ref="Q43" si="97">M43*$C$11</f>
        <v>86.8</v>
      </c>
      <c r="R43" s="112">
        <f t="shared" ref="R43" si="98">SUM(N43:Q43)</f>
        <v>364.07777777777778</v>
      </c>
      <c r="S43" s="112">
        <f t="shared" si="52"/>
        <v>482.22222222222229</v>
      </c>
      <c r="T43" s="112">
        <f t="shared" si="53"/>
        <v>192.88888888888891</v>
      </c>
      <c r="U43" s="112">
        <f t="shared" si="54"/>
        <v>120.55555555555557</v>
      </c>
      <c r="V43" s="112">
        <f t="shared" ref="V43" si="99">SUM(S43:U43)</f>
        <v>795.66666666666674</v>
      </c>
      <c r="W43" s="112">
        <f t="shared" si="56"/>
        <v>660</v>
      </c>
      <c r="X43" s="112">
        <f t="shared" si="57"/>
        <v>300</v>
      </c>
      <c r="Y43" s="112">
        <f t="shared" si="58"/>
        <v>250</v>
      </c>
      <c r="Z43" s="112">
        <f t="shared" ref="Z43" si="100">$C$23*H43</f>
        <v>37.200000000000003</v>
      </c>
      <c r="AA43" s="112">
        <f t="shared" ref="AA43" si="101">H43*$C$24</f>
        <v>0</v>
      </c>
      <c r="AB43" s="112">
        <f t="shared" si="61"/>
        <v>0</v>
      </c>
      <c r="AC43" s="112">
        <f t="shared" ref="AC43" si="102">$C$25*G43*H43/12</f>
        <v>258.33333333333331</v>
      </c>
      <c r="AD43" s="112">
        <f t="shared" ref="AD43" si="103">SUM(W43:AC43)</f>
        <v>1505.5333333333333</v>
      </c>
      <c r="AE43" s="112">
        <f t="shared" ref="AE43" si="104">AD43+V43+M43+R43</f>
        <v>4835.2777777777774</v>
      </c>
      <c r="AF43" s="113">
        <f t="shared" ref="AF43" si="105">AE43/H43</f>
        <v>3.1195340501792113</v>
      </c>
      <c r="AG43" s="112">
        <f t="shared" ref="AG43" si="106">AE43*C43</f>
        <v>0</v>
      </c>
      <c r="AH43" s="112">
        <f t="shared" ref="AH43" si="107">AG43*12</f>
        <v>0</v>
      </c>
      <c r="AI43" s="109"/>
      <c r="AJ43" s="109"/>
      <c r="AL43" s="114">
        <f>H63</f>
        <v>0</v>
      </c>
      <c r="AM43" s="114">
        <f>M63-AL43</f>
        <v>0</v>
      </c>
      <c r="AN43" s="114">
        <f>R63</f>
        <v>0</v>
      </c>
      <c r="AO43" s="114">
        <f>V63</f>
        <v>0</v>
      </c>
      <c r="AP43" s="114">
        <f>AD63</f>
        <v>0</v>
      </c>
      <c r="AQ43" s="114">
        <f>SUM(AL43:AP43)</f>
        <v>0</v>
      </c>
    </row>
    <row r="44" spans="1:43" ht="14.1" customHeight="1">
      <c r="A44" s="121"/>
      <c r="B44" s="122" t="s">
        <v>217</v>
      </c>
      <c r="C44" s="123">
        <f>SUM(C36:C41)</f>
        <v>12</v>
      </c>
      <c r="D44" s="123">
        <f>SUMPRODUCT(D36:D41,$C$36:$C$41)</f>
        <v>11</v>
      </c>
      <c r="E44" s="123">
        <f>SUMPRODUCT(E36:E41,$C$36:$C$41)</f>
        <v>8</v>
      </c>
      <c r="F44" s="123">
        <f>SUMPRODUCT(F36:F41,$C$36:$C$41)</f>
        <v>9</v>
      </c>
      <c r="G44" s="123">
        <f>SUMPRODUCT(G36:G41,$C$36:$C$41)</f>
        <v>11</v>
      </c>
      <c r="H44" s="124">
        <f>SUMPRODUCT($C$36:$C$41,H36:H41)/$C$44</f>
        <v>2062.5</v>
      </c>
      <c r="I44" s="124"/>
      <c r="J44" s="124"/>
      <c r="K44" s="124"/>
      <c r="L44" s="124"/>
      <c r="M44" s="124">
        <f t="shared" ref="M44:AE44" si="108">SUMPRODUCT($C$36:$C$41,M36:M41)/$C$44</f>
        <v>3597.102564102564</v>
      </c>
      <c r="N44" s="124">
        <f t="shared" si="108"/>
        <v>299.758547008547</v>
      </c>
      <c r="O44" s="124">
        <f t="shared" si="108"/>
        <v>99.919515669515661</v>
      </c>
      <c r="P44" s="124">
        <f t="shared" si="108"/>
        <v>59.951709401709394</v>
      </c>
      <c r="Q44" s="124">
        <f t="shared" si="108"/>
        <v>143.88410256410256</v>
      </c>
      <c r="R44" s="124">
        <f t="shared" si="108"/>
        <v>603.5138746438746</v>
      </c>
      <c r="S44" s="124">
        <f t="shared" si="108"/>
        <v>799.35612535612529</v>
      </c>
      <c r="T44" s="124">
        <f t="shared" si="108"/>
        <v>319.74245014245008</v>
      </c>
      <c r="U44" s="124">
        <f t="shared" si="108"/>
        <v>199.83903133903132</v>
      </c>
      <c r="V44" s="124">
        <f t="shared" si="108"/>
        <v>1318.9376068376066</v>
      </c>
      <c r="W44" s="124">
        <f t="shared" si="108"/>
        <v>605</v>
      </c>
      <c r="X44" s="124">
        <f t="shared" si="108"/>
        <v>275</v>
      </c>
      <c r="Y44" s="124">
        <f t="shared" si="108"/>
        <v>229.16666666666666</v>
      </c>
      <c r="Z44" s="124">
        <f t="shared" si="108"/>
        <v>49.5</v>
      </c>
      <c r="AA44" s="124">
        <f t="shared" si="108"/>
        <v>0</v>
      </c>
      <c r="AB44" s="124">
        <f t="shared" si="108"/>
        <v>0</v>
      </c>
      <c r="AC44" s="124">
        <f t="shared" si="108"/>
        <v>343.75</v>
      </c>
      <c r="AD44" s="124">
        <f t="shared" si="108"/>
        <v>1502.4166666666667</v>
      </c>
      <c r="AE44" s="124">
        <f t="shared" si="108"/>
        <v>7021.9707122507125</v>
      </c>
      <c r="AF44" s="124">
        <f t="shared" si="65"/>
        <v>3.4045918604851941</v>
      </c>
      <c r="AG44" s="124">
        <f>SUM(AG36:AG41)</f>
        <v>89098.926324786327</v>
      </c>
      <c r="AH44" s="124">
        <f>SUM(AH36:AH41)</f>
        <v>1069187.1158974362</v>
      </c>
      <c r="AI44" s="122"/>
      <c r="AJ44" s="122"/>
    </row>
    <row r="45" spans="1:43">
      <c r="H45" s="125"/>
    </row>
    <row r="46" spans="1:43">
      <c r="H46" s="125"/>
    </row>
    <row r="47" spans="1:43">
      <c r="H47" s="125"/>
    </row>
    <row r="49" spans="6:7">
      <c r="F49" s="126"/>
      <c r="G49" s="127"/>
    </row>
  </sheetData>
  <sheetProtection algorithmName="SHA-512" hashValue="eC/dZiCSp4rz9xoGb9+qjiHgB3GDXV1sc+CCx3SFcFuLJLUu+yTIegYWgHxoxL4QeEMXZV9MQGQ5oya/7o86qw==" saltValue="NIayq+ndx8hWJzkskJHFBA==" spinCount="100000" sheet="1" objects="1" scenarios="1"/>
  <mergeCells count="6">
    <mergeCell ref="AI27:AJ27"/>
    <mergeCell ref="I27:M27"/>
    <mergeCell ref="N27:R27"/>
    <mergeCell ref="S27:V27"/>
    <mergeCell ref="W27:AD27"/>
    <mergeCell ref="AE27:AH27"/>
  </mergeCells>
  <dataValidations count="1">
    <dataValidation type="list" allowBlank="1" showInputMessage="1" showErrorMessage="1" sqref="D43:G43 D41:G41 D30:G34 D36:G39" xr:uid="{7422B2A1-DF0F-4DBA-811C-8C3529FBB5F6}">
      <formula1>"0,1"</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FA70-6FB7-4EA7-B18A-18084FDAC3E0}">
  <sheetPr>
    <tabColor theme="5" tint="0.79998168889431442"/>
  </sheetPr>
  <dimension ref="A1:B31"/>
  <sheetViews>
    <sheetView workbookViewId="0">
      <selection activeCell="A31" sqref="A31:B31"/>
    </sheetView>
  </sheetViews>
  <sheetFormatPr defaultRowHeight="15"/>
  <sheetData>
    <row r="1" spans="1:2">
      <c r="A1">
        <v>1995</v>
      </c>
      <c r="B1">
        <v>22.41</v>
      </c>
    </row>
    <row r="2" spans="1:2">
      <c r="A2">
        <v>1996</v>
      </c>
      <c r="B2">
        <v>9.56</v>
      </c>
    </row>
    <row r="3" spans="1:2">
      <c r="A3">
        <v>1997</v>
      </c>
      <c r="B3">
        <v>5.22</v>
      </c>
    </row>
    <row r="4" spans="1:2">
      <c r="A4">
        <v>1998</v>
      </c>
      <c r="B4">
        <v>1.65</v>
      </c>
    </row>
    <row r="5" spans="1:2">
      <c r="A5">
        <v>1999</v>
      </c>
      <c r="B5">
        <v>8.94</v>
      </c>
    </row>
    <row r="6" spans="1:2">
      <c r="A6">
        <v>2000</v>
      </c>
      <c r="B6">
        <v>5.97</v>
      </c>
    </row>
    <row r="7" spans="1:2">
      <c r="A7">
        <v>2001</v>
      </c>
      <c r="B7">
        <v>7.67</v>
      </c>
    </row>
    <row r="8" spans="1:2">
      <c r="A8">
        <v>2002</v>
      </c>
      <c r="B8">
        <v>12.53</v>
      </c>
    </row>
    <row r="9" spans="1:2">
      <c r="A9">
        <v>2003</v>
      </c>
      <c r="B9">
        <v>9.3000000000000007</v>
      </c>
    </row>
    <row r="10" spans="1:2">
      <c r="A10">
        <v>2004</v>
      </c>
      <c r="B10">
        <v>7.6</v>
      </c>
    </row>
    <row r="11" spans="1:2">
      <c r="A11">
        <v>2005</v>
      </c>
      <c r="B11">
        <v>5.69</v>
      </c>
    </row>
    <row r="12" spans="1:2">
      <c r="A12">
        <v>2006</v>
      </c>
      <c r="B12">
        <v>3.14</v>
      </c>
    </row>
    <row r="13" spans="1:2">
      <c r="A13">
        <v>2007</v>
      </c>
      <c r="B13">
        <v>4.46</v>
      </c>
    </row>
    <row r="14" spans="1:2">
      <c r="A14">
        <v>2008</v>
      </c>
      <c r="B14">
        <v>5.9</v>
      </c>
    </row>
    <row r="15" spans="1:2">
      <c r="A15">
        <v>2009</v>
      </c>
      <c r="B15">
        <v>4.3099999999999996</v>
      </c>
    </row>
    <row r="16" spans="1:2">
      <c r="A16">
        <v>2010</v>
      </c>
      <c r="B16">
        <v>5.91</v>
      </c>
    </row>
    <row r="17" spans="1:2">
      <c r="A17">
        <v>2011</v>
      </c>
      <c r="B17">
        <v>6.5</v>
      </c>
    </row>
    <row r="18" spans="1:2">
      <c r="A18">
        <v>2012</v>
      </c>
      <c r="B18">
        <v>5.84</v>
      </c>
    </row>
    <row r="19" spans="1:2">
      <c r="A19">
        <v>2013</v>
      </c>
      <c r="B19">
        <v>5.91</v>
      </c>
    </row>
    <row r="20" spans="1:2">
      <c r="A20">
        <v>2014</v>
      </c>
      <c r="B20">
        <v>6.41</v>
      </c>
    </row>
    <row r="21" spans="1:2">
      <c r="A21">
        <v>2015</v>
      </c>
      <c r="B21">
        <v>10.67</v>
      </c>
    </row>
    <row r="22" spans="1:2">
      <c r="A22">
        <v>2016</v>
      </c>
      <c r="B22">
        <v>6.29</v>
      </c>
    </row>
    <row r="23" spans="1:2">
      <c r="A23">
        <v>2017</v>
      </c>
      <c r="B23">
        <v>2.95</v>
      </c>
    </row>
    <row r="24" spans="1:2">
      <c r="A24">
        <v>2018</v>
      </c>
      <c r="B24">
        <v>3.75</v>
      </c>
    </row>
    <row r="25" spans="1:2">
      <c r="A25">
        <v>2019</v>
      </c>
      <c r="B25">
        <v>4.3099999999999996</v>
      </c>
    </row>
    <row r="26" spans="1:2">
      <c r="A26">
        <v>2020</v>
      </c>
      <c r="B26">
        <v>4.5199999999999996</v>
      </c>
    </row>
    <row r="27" spans="1:2">
      <c r="A27">
        <v>2021</v>
      </c>
      <c r="B27">
        <v>10.06</v>
      </c>
    </row>
    <row r="28" spans="1:2">
      <c r="A28">
        <v>2022</v>
      </c>
      <c r="B28">
        <v>5.79</v>
      </c>
    </row>
    <row r="29" spans="1:2">
      <c r="A29">
        <v>2023</v>
      </c>
      <c r="B29">
        <v>4.62</v>
      </c>
    </row>
    <row r="30" spans="1:2">
      <c r="A30">
        <v>2024</v>
      </c>
      <c r="B30">
        <v>4.83</v>
      </c>
    </row>
    <row r="31" spans="1:2">
      <c r="A31">
        <v>2025</v>
      </c>
      <c r="B31">
        <v>4.87</v>
      </c>
    </row>
  </sheetData>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3697C-C2DF-4795-BC12-C9DF6FA95F75}">
  <sheetPr>
    <tabColor theme="5" tint="0.79998168889431442"/>
  </sheetPr>
  <dimension ref="A1:OI8"/>
  <sheetViews>
    <sheetView showGridLines="0" workbookViewId="0">
      <selection activeCell="M1" sqref="M1"/>
    </sheetView>
  </sheetViews>
  <sheetFormatPr defaultRowHeight="15"/>
  <cols>
    <col min="1" max="1" width="36.42578125" bestFit="1" customWidth="1"/>
    <col min="9" max="64" width="10.5703125" bestFit="1" customWidth="1"/>
    <col min="65" max="374" width="9.140625" bestFit="1" customWidth="1"/>
  </cols>
  <sheetData>
    <row r="1" spans="1:399" s="69" customFormat="1" ht="25.5">
      <c r="C1" s="69" t="s">
        <v>147</v>
      </c>
      <c r="I1" s="70">
        <v>34546</v>
      </c>
      <c r="J1" s="70">
        <f t="shared" ref="J1:BU1" si="0">EOMONTH(EDATE(I1,1),0)</f>
        <v>34577</v>
      </c>
      <c r="K1" s="70">
        <f t="shared" si="0"/>
        <v>34607</v>
      </c>
      <c r="L1" s="70">
        <f t="shared" si="0"/>
        <v>34638</v>
      </c>
      <c r="M1" s="70">
        <f t="shared" si="0"/>
        <v>34668</v>
      </c>
      <c r="N1" s="70">
        <f t="shared" si="0"/>
        <v>34699</v>
      </c>
      <c r="O1" s="70">
        <f t="shared" si="0"/>
        <v>34730</v>
      </c>
      <c r="P1" s="70">
        <f t="shared" si="0"/>
        <v>34758</v>
      </c>
      <c r="Q1" s="70">
        <f t="shared" si="0"/>
        <v>34789</v>
      </c>
      <c r="R1" s="70">
        <f t="shared" si="0"/>
        <v>34819</v>
      </c>
      <c r="S1" s="70">
        <f t="shared" si="0"/>
        <v>34850</v>
      </c>
      <c r="T1" s="70">
        <f t="shared" si="0"/>
        <v>34880</v>
      </c>
      <c r="U1" s="70">
        <f t="shared" si="0"/>
        <v>34911</v>
      </c>
      <c r="V1" s="70">
        <f t="shared" si="0"/>
        <v>34942</v>
      </c>
      <c r="W1" s="70">
        <f t="shared" si="0"/>
        <v>34972</v>
      </c>
      <c r="X1" s="70">
        <f t="shared" si="0"/>
        <v>35003</v>
      </c>
      <c r="Y1" s="70">
        <f t="shared" si="0"/>
        <v>35033</v>
      </c>
      <c r="Z1" s="70">
        <f t="shared" si="0"/>
        <v>35064</v>
      </c>
      <c r="AA1" s="70">
        <f t="shared" si="0"/>
        <v>35095</v>
      </c>
      <c r="AB1" s="70">
        <f t="shared" si="0"/>
        <v>35124</v>
      </c>
      <c r="AC1" s="70">
        <f t="shared" si="0"/>
        <v>35155</v>
      </c>
      <c r="AD1" s="70">
        <f t="shared" si="0"/>
        <v>35185</v>
      </c>
      <c r="AE1" s="70">
        <f t="shared" si="0"/>
        <v>35216</v>
      </c>
      <c r="AF1" s="70">
        <f t="shared" si="0"/>
        <v>35246</v>
      </c>
      <c r="AG1" s="70">
        <f t="shared" si="0"/>
        <v>35277</v>
      </c>
      <c r="AH1" s="70">
        <f t="shared" si="0"/>
        <v>35308</v>
      </c>
      <c r="AI1" s="70">
        <f t="shared" si="0"/>
        <v>35338</v>
      </c>
      <c r="AJ1" s="70">
        <f t="shared" si="0"/>
        <v>35369</v>
      </c>
      <c r="AK1" s="70">
        <f t="shared" si="0"/>
        <v>35399</v>
      </c>
      <c r="AL1" s="70">
        <f t="shared" si="0"/>
        <v>35430</v>
      </c>
      <c r="AM1" s="70">
        <f t="shared" si="0"/>
        <v>35461</v>
      </c>
      <c r="AN1" s="70">
        <f t="shared" si="0"/>
        <v>35489</v>
      </c>
      <c r="AO1" s="70">
        <f t="shared" si="0"/>
        <v>35520</v>
      </c>
      <c r="AP1" s="70">
        <f t="shared" si="0"/>
        <v>35550</v>
      </c>
      <c r="AQ1" s="70">
        <f t="shared" si="0"/>
        <v>35581</v>
      </c>
      <c r="AR1" s="70">
        <f t="shared" si="0"/>
        <v>35611</v>
      </c>
      <c r="AS1" s="70">
        <f t="shared" si="0"/>
        <v>35642</v>
      </c>
      <c r="AT1" s="70">
        <f t="shared" si="0"/>
        <v>35673</v>
      </c>
      <c r="AU1" s="70">
        <f t="shared" si="0"/>
        <v>35703</v>
      </c>
      <c r="AV1" s="70">
        <f t="shared" si="0"/>
        <v>35734</v>
      </c>
      <c r="AW1" s="70">
        <f t="shared" si="0"/>
        <v>35764</v>
      </c>
      <c r="AX1" s="70">
        <f t="shared" si="0"/>
        <v>35795</v>
      </c>
      <c r="AY1" s="70">
        <f t="shared" si="0"/>
        <v>35826</v>
      </c>
      <c r="AZ1" s="70">
        <f t="shared" si="0"/>
        <v>35854</v>
      </c>
      <c r="BA1" s="70">
        <f t="shared" si="0"/>
        <v>35885</v>
      </c>
      <c r="BB1" s="70">
        <f t="shared" si="0"/>
        <v>35915</v>
      </c>
      <c r="BC1" s="70">
        <f t="shared" si="0"/>
        <v>35946</v>
      </c>
      <c r="BD1" s="70">
        <f t="shared" si="0"/>
        <v>35976</v>
      </c>
      <c r="BE1" s="70">
        <f t="shared" si="0"/>
        <v>36007</v>
      </c>
      <c r="BF1" s="70">
        <f t="shared" si="0"/>
        <v>36038</v>
      </c>
      <c r="BG1" s="70">
        <f t="shared" si="0"/>
        <v>36068</v>
      </c>
      <c r="BH1" s="70">
        <f t="shared" si="0"/>
        <v>36099</v>
      </c>
      <c r="BI1" s="70">
        <f t="shared" si="0"/>
        <v>36129</v>
      </c>
      <c r="BJ1" s="70">
        <f t="shared" si="0"/>
        <v>36160</v>
      </c>
      <c r="BK1" s="70">
        <f t="shared" si="0"/>
        <v>36191</v>
      </c>
      <c r="BL1" s="70">
        <f t="shared" si="0"/>
        <v>36219</v>
      </c>
      <c r="BM1" s="70">
        <f t="shared" si="0"/>
        <v>36250</v>
      </c>
      <c r="BN1" s="70">
        <f t="shared" si="0"/>
        <v>36280</v>
      </c>
      <c r="BO1" s="70">
        <f t="shared" si="0"/>
        <v>36311</v>
      </c>
      <c r="BP1" s="70">
        <f t="shared" si="0"/>
        <v>36341</v>
      </c>
      <c r="BQ1" s="70">
        <f t="shared" si="0"/>
        <v>36372</v>
      </c>
      <c r="BR1" s="70">
        <f t="shared" si="0"/>
        <v>36403</v>
      </c>
      <c r="BS1" s="70">
        <f t="shared" si="0"/>
        <v>36433</v>
      </c>
      <c r="BT1" s="70">
        <f t="shared" si="0"/>
        <v>36464</v>
      </c>
      <c r="BU1" s="70">
        <f t="shared" si="0"/>
        <v>36494</v>
      </c>
      <c r="BV1" s="70">
        <f t="shared" ref="BV1:EG1" si="1">EOMONTH(EDATE(BU1,1),0)</f>
        <v>36525</v>
      </c>
      <c r="BW1" s="70">
        <f t="shared" si="1"/>
        <v>36556</v>
      </c>
      <c r="BX1" s="70">
        <f t="shared" si="1"/>
        <v>36585</v>
      </c>
      <c r="BY1" s="70">
        <f t="shared" si="1"/>
        <v>36616</v>
      </c>
      <c r="BZ1" s="70">
        <f t="shared" si="1"/>
        <v>36646</v>
      </c>
      <c r="CA1" s="70">
        <f t="shared" si="1"/>
        <v>36677</v>
      </c>
      <c r="CB1" s="70">
        <f t="shared" si="1"/>
        <v>36707</v>
      </c>
      <c r="CC1" s="70">
        <f t="shared" si="1"/>
        <v>36738</v>
      </c>
      <c r="CD1" s="70">
        <f t="shared" si="1"/>
        <v>36769</v>
      </c>
      <c r="CE1" s="70">
        <f t="shared" si="1"/>
        <v>36799</v>
      </c>
      <c r="CF1" s="70">
        <f t="shared" si="1"/>
        <v>36830</v>
      </c>
      <c r="CG1" s="70">
        <f t="shared" si="1"/>
        <v>36860</v>
      </c>
      <c r="CH1" s="70">
        <f t="shared" si="1"/>
        <v>36891</v>
      </c>
      <c r="CI1" s="70">
        <f t="shared" si="1"/>
        <v>36922</v>
      </c>
      <c r="CJ1" s="70">
        <f t="shared" si="1"/>
        <v>36950</v>
      </c>
      <c r="CK1" s="70">
        <f t="shared" si="1"/>
        <v>36981</v>
      </c>
      <c r="CL1" s="70">
        <f t="shared" si="1"/>
        <v>37011</v>
      </c>
      <c r="CM1" s="70">
        <f t="shared" si="1"/>
        <v>37042</v>
      </c>
      <c r="CN1" s="70">
        <f t="shared" si="1"/>
        <v>37072</v>
      </c>
      <c r="CO1" s="70">
        <f t="shared" si="1"/>
        <v>37103</v>
      </c>
      <c r="CP1" s="70">
        <f t="shared" si="1"/>
        <v>37134</v>
      </c>
      <c r="CQ1" s="70">
        <f t="shared" si="1"/>
        <v>37164</v>
      </c>
      <c r="CR1" s="70">
        <f t="shared" si="1"/>
        <v>37195</v>
      </c>
      <c r="CS1" s="70">
        <f t="shared" si="1"/>
        <v>37225</v>
      </c>
      <c r="CT1" s="70">
        <f t="shared" si="1"/>
        <v>37256</v>
      </c>
      <c r="CU1" s="70">
        <f t="shared" si="1"/>
        <v>37287</v>
      </c>
      <c r="CV1" s="70">
        <f t="shared" si="1"/>
        <v>37315</v>
      </c>
      <c r="CW1" s="70">
        <f t="shared" si="1"/>
        <v>37346</v>
      </c>
      <c r="CX1" s="70">
        <f t="shared" si="1"/>
        <v>37376</v>
      </c>
      <c r="CY1" s="70">
        <f t="shared" si="1"/>
        <v>37407</v>
      </c>
      <c r="CZ1" s="70">
        <f t="shared" si="1"/>
        <v>37437</v>
      </c>
      <c r="DA1" s="70">
        <f t="shared" si="1"/>
        <v>37468</v>
      </c>
      <c r="DB1" s="70">
        <f t="shared" si="1"/>
        <v>37499</v>
      </c>
      <c r="DC1" s="70">
        <f t="shared" si="1"/>
        <v>37529</v>
      </c>
      <c r="DD1" s="70">
        <f t="shared" si="1"/>
        <v>37560</v>
      </c>
      <c r="DE1" s="70">
        <f t="shared" si="1"/>
        <v>37590</v>
      </c>
      <c r="DF1" s="70">
        <f t="shared" si="1"/>
        <v>37621</v>
      </c>
      <c r="DG1" s="70">
        <f t="shared" si="1"/>
        <v>37652</v>
      </c>
      <c r="DH1" s="70">
        <f t="shared" si="1"/>
        <v>37680</v>
      </c>
      <c r="DI1" s="70">
        <f t="shared" si="1"/>
        <v>37711</v>
      </c>
      <c r="DJ1" s="70">
        <f t="shared" si="1"/>
        <v>37741</v>
      </c>
      <c r="DK1" s="70">
        <f t="shared" si="1"/>
        <v>37772</v>
      </c>
      <c r="DL1" s="70">
        <f t="shared" si="1"/>
        <v>37802</v>
      </c>
      <c r="DM1" s="70">
        <f t="shared" si="1"/>
        <v>37833</v>
      </c>
      <c r="DN1" s="70">
        <f t="shared" si="1"/>
        <v>37864</v>
      </c>
      <c r="DO1" s="70">
        <f t="shared" si="1"/>
        <v>37894</v>
      </c>
      <c r="DP1" s="70">
        <f t="shared" si="1"/>
        <v>37925</v>
      </c>
      <c r="DQ1" s="70">
        <f t="shared" si="1"/>
        <v>37955</v>
      </c>
      <c r="DR1" s="70">
        <f t="shared" si="1"/>
        <v>37986</v>
      </c>
      <c r="DS1" s="70">
        <f t="shared" si="1"/>
        <v>38017</v>
      </c>
      <c r="DT1" s="70">
        <f t="shared" si="1"/>
        <v>38046</v>
      </c>
      <c r="DU1" s="70">
        <f t="shared" si="1"/>
        <v>38077</v>
      </c>
      <c r="DV1" s="70">
        <f t="shared" si="1"/>
        <v>38107</v>
      </c>
      <c r="DW1" s="70">
        <f t="shared" si="1"/>
        <v>38138</v>
      </c>
      <c r="DX1" s="70">
        <f t="shared" si="1"/>
        <v>38168</v>
      </c>
      <c r="DY1" s="70">
        <f t="shared" si="1"/>
        <v>38199</v>
      </c>
      <c r="DZ1" s="70">
        <f t="shared" si="1"/>
        <v>38230</v>
      </c>
      <c r="EA1" s="70">
        <f t="shared" si="1"/>
        <v>38260</v>
      </c>
      <c r="EB1" s="70">
        <f t="shared" si="1"/>
        <v>38291</v>
      </c>
      <c r="EC1" s="70">
        <f t="shared" si="1"/>
        <v>38321</v>
      </c>
      <c r="ED1" s="70">
        <f t="shared" si="1"/>
        <v>38352</v>
      </c>
      <c r="EE1" s="70">
        <f t="shared" si="1"/>
        <v>38383</v>
      </c>
      <c r="EF1" s="70">
        <f t="shared" si="1"/>
        <v>38411</v>
      </c>
      <c r="EG1" s="70">
        <f t="shared" si="1"/>
        <v>38442</v>
      </c>
      <c r="EH1" s="70">
        <f t="shared" ref="EH1:GS1" si="2">EOMONTH(EDATE(EG1,1),0)</f>
        <v>38472</v>
      </c>
      <c r="EI1" s="70">
        <f t="shared" si="2"/>
        <v>38503</v>
      </c>
      <c r="EJ1" s="70">
        <f t="shared" si="2"/>
        <v>38533</v>
      </c>
      <c r="EK1" s="70">
        <f t="shared" si="2"/>
        <v>38564</v>
      </c>
      <c r="EL1" s="70">
        <f t="shared" si="2"/>
        <v>38595</v>
      </c>
      <c r="EM1" s="70">
        <f t="shared" si="2"/>
        <v>38625</v>
      </c>
      <c r="EN1" s="70">
        <f t="shared" si="2"/>
        <v>38656</v>
      </c>
      <c r="EO1" s="70">
        <f t="shared" si="2"/>
        <v>38686</v>
      </c>
      <c r="EP1" s="70">
        <f t="shared" si="2"/>
        <v>38717</v>
      </c>
      <c r="EQ1" s="70">
        <f t="shared" si="2"/>
        <v>38748</v>
      </c>
      <c r="ER1" s="70">
        <f t="shared" si="2"/>
        <v>38776</v>
      </c>
      <c r="ES1" s="70">
        <f t="shared" si="2"/>
        <v>38807</v>
      </c>
      <c r="ET1" s="70">
        <f t="shared" si="2"/>
        <v>38837</v>
      </c>
      <c r="EU1" s="70">
        <f t="shared" si="2"/>
        <v>38868</v>
      </c>
      <c r="EV1" s="70">
        <f t="shared" si="2"/>
        <v>38898</v>
      </c>
      <c r="EW1" s="70">
        <f t="shared" si="2"/>
        <v>38929</v>
      </c>
      <c r="EX1" s="70">
        <f t="shared" si="2"/>
        <v>38960</v>
      </c>
      <c r="EY1" s="70">
        <f t="shared" si="2"/>
        <v>38990</v>
      </c>
      <c r="EZ1" s="70">
        <f t="shared" si="2"/>
        <v>39021</v>
      </c>
      <c r="FA1" s="70">
        <f t="shared" si="2"/>
        <v>39051</v>
      </c>
      <c r="FB1" s="70">
        <f t="shared" si="2"/>
        <v>39082</v>
      </c>
      <c r="FC1" s="70">
        <f t="shared" si="2"/>
        <v>39113</v>
      </c>
      <c r="FD1" s="70">
        <f t="shared" si="2"/>
        <v>39141</v>
      </c>
      <c r="FE1" s="70">
        <f t="shared" si="2"/>
        <v>39172</v>
      </c>
      <c r="FF1" s="70">
        <f t="shared" si="2"/>
        <v>39202</v>
      </c>
      <c r="FG1" s="70">
        <f t="shared" si="2"/>
        <v>39233</v>
      </c>
      <c r="FH1" s="70">
        <f t="shared" si="2"/>
        <v>39263</v>
      </c>
      <c r="FI1" s="70">
        <f t="shared" si="2"/>
        <v>39294</v>
      </c>
      <c r="FJ1" s="70">
        <f t="shared" si="2"/>
        <v>39325</v>
      </c>
      <c r="FK1" s="70">
        <f t="shared" si="2"/>
        <v>39355</v>
      </c>
      <c r="FL1" s="70">
        <f t="shared" si="2"/>
        <v>39386</v>
      </c>
      <c r="FM1" s="70">
        <f t="shared" si="2"/>
        <v>39416</v>
      </c>
      <c r="FN1" s="70">
        <f t="shared" si="2"/>
        <v>39447</v>
      </c>
      <c r="FO1" s="70">
        <f t="shared" si="2"/>
        <v>39478</v>
      </c>
      <c r="FP1" s="70">
        <f t="shared" si="2"/>
        <v>39507</v>
      </c>
      <c r="FQ1" s="70">
        <f t="shared" si="2"/>
        <v>39538</v>
      </c>
      <c r="FR1" s="70">
        <f t="shared" si="2"/>
        <v>39568</v>
      </c>
      <c r="FS1" s="70">
        <f t="shared" si="2"/>
        <v>39599</v>
      </c>
      <c r="FT1" s="70">
        <f t="shared" si="2"/>
        <v>39629</v>
      </c>
      <c r="FU1" s="70">
        <f t="shared" si="2"/>
        <v>39660</v>
      </c>
      <c r="FV1" s="70">
        <f t="shared" si="2"/>
        <v>39691</v>
      </c>
      <c r="FW1" s="70">
        <f t="shared" si="2"/>
        <v>39721</v>
      </c>
      <c r="FX1" s="70">
        <f t="shared" si="2"/>
        <v>39752</v>
      </c>
      <c r="FY1" s="70">
        <f t="shared" si="2"/>
        <v>39782</v>
      </c>
      <c r="FZ1" s="70">
        <f t="shared" si="2"/>
        <v>39813</v>
      </c>
      <c r="GA1" s="70">
        <f t="shared" si="2"/>
        <v>39844</v>
      </c>
      <c r="GB1" s="70">
        <f t="shared" si="2"/>
        <v>39872</v>
      </c>
      <c r="GC1" s="70">
        <f t="shared" si="2"/>
        <v>39903</v>
      </c>
      <c r="GD1" s="70">
        <f t="shared" si="2"/>
        <v>39933</v>
      </c>
      <c r="GE1" s="70">
        <f t="shared" si="2"/>
        <v>39964</v>
      </c>
      <c r="GF1" s="70">
        <f t="shared" si="2"/>
        <v>39994</v>
      </c>
      <c r="GG1" s="70">
        <f t="shared" si="2"/>
        <v>40025</v>
      </c>
      <c r="GH1" s="70">
        <f t="shared" si="2"/>
        <v>40056</v>
      </c>
      <c r="GI1" s="70">
        <f t="shared" si="2"/>
        <v>40086</v>
      </c>
      <c r="GJ1" s="70">
        <f t="shared" si="2"/>
        <v>40117</v>
      </c>
      <c r="GK1" s="70">
        <f t="shared" si="2"/>
        <v>40147</v>
      </c>
      <c r="GL1" s="70">
        <f t="shared" si="2"/>
        <v>40178</v>
      </c>
      <c r="GM1" s="70">
        <f t="shared" si="2"/>
        <v>40209</v>
      </c>
      <c r="GN1" s="70">
        <f t="shared" si="2"/>
        <v>40237</v>
      </c>
      <c r="GO1" s="70">
        <f t="shared" si="2"/>
        <v>40268</v>
      </c>
      <c r="GP1" s="70">
        <f t="shared" si="2"/>
        <v>40298</v>
      </c>
      <c r="GQ1" s="70">
        <f t="shared" si="2"/>
        <v>40329</v>
      </c>
      <c r="GR1" s="70">
        <f t="shared" si="2"/>
        <v>40359</v>
      </c>
      <c r="GS1" s="70">
        <f t="shared" si="2"/>
        <v>40390</v>
      </c>
      <c r="GT1" s="70">
        <f t="shared" ref="GT1:JE1" si="3">EOMONTH(EDATE(GS1,1),0)</f>
        <v>40421</v>
      </c>
      <c r="GU1" s="70">
        <f t="shared" si="3"/>
        <v>40451</v>
      </c>
      <c r="GV1" s="70">
        <f t="shared" si="3"/>
        <v>40482</v>
      </c>
      <c r="GW1" s="70">
        <f t="shared" si="3"/>
        <v>40512</v>
      </c>
      <c r="GX1" s="70">
        <f t="shared" si="3"/>
        <v>40543</v>
      </c>
      <c r="GY1" s="70">
        <f t="shared" si="3"/>
        <v>40574</v>
      </c>
      <c r="GZ1" s="70">
        <f t="shared" si="3"/>
        <v>40602</v>
      </c>
      <c r="HA1" s="70">
        <f t="shared" si="3"/>
        <v>40633</v>
      </c>
      <c r="HB1" s="70">
        <f t="shared" si="3"/>
        <v>40663</v>
      </c>
      <c r="HC1" s="70">
        <f t="shared" si="3"/>
        <v>40694</v>
      </c>
      <c r="HD1" s="70">
        <f t="shared" si="3"/>
        <v>40724</v>
      </c>
      <c r="HE1" s="70">
        <f t="shared" si="3"/>
        <v>40755</v>
      </c>
      <c r="HF1" s="70">
        <f t="shared" si="3"/>
        <v>40786</v>
      </c>
      <c r="HG1" s="70">
        <f t="shared" si="3"/>
        <v>40816</v>
      </c>
      <c r="HH1" s="70">
        <f t="shared" si="3"/>
        <v>40847</v>
      </c>
      <c r="HI1" s="70">
        <f t="shared" si="3"/>
        <v>40877</v>
      </c>
      <c r="HJ1" s="70">
        <f t="shared" si="3"/>
        <v>40908</v>
      </c>
      <c r="HK1" s="70">
        <f t="shared" si="3"/>
        <v>40939</v>
      </c>
      <c r="HL1" s="70">
        <f t="shared" si="3"/>
        <v>40968</v>
      </c>
      <c r="HM1" s="70">
        <f t="shared" si="3"/>
        <v>40999</v>
      </c>
      <c r="HN1" s="70">
        <f t="shared" si="3"/>
        <v>41029</v>
      </c>
      <c r="HO1" s="70">
        <f t="shared" si="3"/>
        <v>41060</v>
      </c>
      <c r="HP1" s="70">
        <f t="shared" si="3"/>
        <v>41090</v>
      </c>
      <c r="HQ1" s="70">
        <f t="shared" si="3"/>
        <v>41121</v>
      </c>
      <c r="HR1" s="70">
        <f t="shared" si="3"/>
        <v>41152</v>
      </c>
      <c r="HS1" s="70">
        <f t="shared" si="3"/>
        <v>41182</v>
      </c>
      <c r="HT1" s="70">
        <f t="shared" si="3"/>
        <v>41213</v>
      </c>
      <c r="HU1" s="70">
        <f t="shared" si="3"/>
        <v>41243</v>
      </c>
      <c r="HV1" s="70">
        <f t="shared" si="3"/>
        <v>41274</v>
      </c>
      <c r="HW1" s="70">
        <f t="shared" si="3"/>
        <v>41305</v>
      </c>
      <c r="HX1" s="70">
        <f t="shared" si="3"/>
        <v>41333</v>
      </c>
      <c r="HY1" s="70">
        <f t="shared" si="3"/>
        <v>41364</v>
      </c>
      <c r="HZ1" s="70">
        <f t="shared" si="3"/>
        <v>41394</v>
      </c>
      <c r="IA1" s="70">
        <f t="shared" si="3"/>
        <v>41425</v>
      </c>
      <c r="IB1" s="70">
        <f t="shared" si="3"/>
        <v>41455</v>
      </c>
      <c r="IC1" s="70">
        <f t="shared" si="3"/>
        <v>41486</v>
      </c>
      <c r="ID1" s="70">
        <f t="shared" si="3"/>
        <v>41517</v>
      </c>
      <c r="IE1" s="70">
        <f t="shared" si="3"/>
        <v>41547</v>
      </c>
      <c r="IF1" s="70">
        <f t="shared" si="3"/>
        <v>41578</v>
      </c>
      <c r="IG1" s="70">
        <f t="shared" si="3"/>
        <v>41608</v>
      </c>
      <c r="IH1" s="70">
        <f t="shared" si="3"/>
        <v>41639</v>
      </c>
      <c r="II1" s="70">
        <f t="shared" si="3"/>
        <v>41670</v>
      </c>
      <c r="IJ1" s="70">
        <f t="shared" si="3"/>
        <v>41698</v>
      </c>
      <c r="IK1" s="70">
        <f t="shared" si="3"/>
        <v>41729</v>
      </c>
      <c r="IL1" s="70">
        <f t="shared" si="3"/>
        <v>41759</v>
      </c>
      <c r="IM1" s="70">
        <f t="shared" si="3"/>
        <v>41790</v>
      </c>
      <c r="IN1" s="70">
        <f t="shared" si="3"/>
        <v>41820</v>
      </c>
      <c r="IO1" s="70">
        <f t="shared" si="3"/>
        <v>41851</v>
      </c>
      <c r="IP1" s="70">
        <f t="shared" si="3"/>
        <v>41882</v>
      </c>
      <c r="IQ1" s="70">
        <f t="shared" si="3"/>
        <v>41912</v>
      </c>
      <c r="IR1" s="70">
        <f t="shared" si="3"/>
        <v>41943</v>
      </c>
      <c r="IS1" s="70">
        <f t="shared" si="3"/>
        <v>41973</v>
      </c>
      <c r="IT1" s="70">
        <f t="shared" si="3"/>
        <v>42004</v>
      </c>
      <c r="IU1" s="70">
        <f t="shared" si="3"/>
        <v>42035</v>
      </c>
      <c r="IV1" s="70">
        <f t="shared" si="3"/>
        <v>42063</v>
      </c>
      <c r="IW1" s="70">
        <f t="shared" si="3"/>
        <v>42094</v>
      </c>
      <c r="IX1" s="70">
        <f t="shared" si="3"/>
        <v>42124</v>
      </c>
      <c r="IY1" s="70">
        <f t="shared" si="3"/>
        <v>42155</v>
      </c>
      <c r="IZ1" s="70">
        <f t="shared" si="3"/>
        <v>42185</v>
      </c>
      <c r="JA1" s="70">
        <f t="shared" si="3"/>
        <v>42216</v>
      </c>
      <c r="JB1" s="70">
        <f t="shared" si="3"/>
        <v>42247</v>
      </c>
      <c r="JC1" s="70">
        <f t="shared" si="3"/>
        <v>42277</v>
      </c>
      <c r="JD1" s="70">
        <f t="shared" si="3"/>
        <v>42308</v>
      </c>
      <c r="JE1" s="70">
        <f t="shared" si="3"/>
        <v>42338</v>
      </c>
      <c r="JF1" s="70">
        <f t="shared" ref="JF1:LQ1" si="4">EOMONTH(EDATE(JE1,1),0)</f>
        <v>42369</v>
      </c>
      <c r="JG1" s="70">
        <f t="shared" si="4"/>
        <v>42400</v>
      </c>
      <c r="JH1" s="70">
        <f t="shared" si="4"/>
        <v>42429</v>
      </c>
      <c r="JI1" s="70">
        <f t="shared" si="4"/>
        <v>42460</v>
      </c>
      <c r="JJ1" s="70">
        <f t="shared" si="4"/>
        <v>42490</v>
      </c>
      <c r="JK1" s="70">
        <f t="shared" si="4"/>
        <v>42521</v>
      </c>
      <c r="JL1" s="70">
        <f t="shared" si="4"/>
        <v>42551</v>
      </c>
      <c r="JM1" s="70">
        <f t="shared" si="4"/>
        <v>42582</v>
      </c>
      <c r="JN1" s="70">
        <f t="shared" si="4"/>
        <v>42613</v>
      </c>
      <c r="JO1" s="70">
        <f t="shared" si="4"/>
        <v>42643</v>
      </c>
      <c r="JP1" s="70">
        <f t="shared" si="4"/>
        <v>42674</v>
      </c>
      <c r="JQ1" s="70">
        <f t="shared" si="4"/>
        <v>42704</v>
      </c>
      <c r="JR1" s="70">
        <f t="shared" si="4"/>
        <v>42735</v>
      </c>
      <c r="JS1" s="70">
        <f t="shared" si="4"/>
        <v>42766</v>
      </c>
      <c r="JT1" s="70">
        <f t="shared" si="4"/>
        <v>42794</v>
      </c>
      <c r="JU1" s="70">
        <f t="shared" si="4"/>
        <v>42825</v>
      </c>
      <c r="JV1" s="70">
        <f t="shared" si="4"/>
        <v>42855</v>
      </c>
      <c r="JW1" s="70">
        <f t="shared" si="4"/>
        <v>42886</v>
      </c>
      <c r="JX1" s="70">
        <f t="shared" si="4"/>
        <v>42916</v>
      </c>
      <c r="JY1" s="70">
        <f t="shared" si="4"/>
        <v>42947</v>
      </c>
      <c r="JZ1" s="70">
        <f t="shared" si="4"/>
        <v>42978</v>
      </c>
      <c r="KA1" s="70">
        <f t="shared" si="4"/>
        <v>43008</v>
      </c>
      <c r="KB1" s="70">
        <f t="shared" si="4"/>
        <v>43039</v>
      </c>
      <c r="KC1" s="70">
        <f t="shared" si="4"/>
        <v>43069</v>
      </c>
      <c r="KD1" s="70">
        <f t="shared" si="4"/>
        <v>43100</v>
      </c>
      <c r="KE1" s="70">
        <f t="shared" si="4"/>
        <v>43131</v>
      </c>
      <c r="KF1" s="70">
        <f t="shared" si="4"/>
        <v>43159</v>
      </c>
      <c r="KG1" s="70">
        <f t="shared" si="4"/>
        <v>43190</v>
      </c>
      <c r="KH1" s="70">
        <f t="shared" si="4"/>
        <v>43220</v>
      </c>
      <c r="KI1" s="70">
        <f t="shared" si="4"/>
        <v>43251</v>
      </c>
      <c r="KJ1" s="70">
        <f t="shared" si="4"/>
        <v>43281</v>
      </c>
      <c r="KK1" s="70">
        <f t="shared" si="4"/>
        <v>43312</v>
      </c>
      <c r="KL1" s="70">
        <f t="shared" si="4"/>
        <v>43343</v>
      </c>
      <c r="KM1" s="70">
        <f t="shared" si="4"/>
        <v>43373</v>
      </c>
      <c r="KN1" s="70">
        <f t="shared" si="4"/>
        <v>43404</v>
      </c>
      <c r="KO1" s="70">
        <f t="shared" si="4"/>
        <v>43434</v>
      </c>
      <c r="KP1" s="70">
        <f t="shared" si="4"/>
        <v>43465</v>
      </c>
      <c r="KQ1" s="70">
        <f t="shared" si="4"/>
        <v>43496</v>
      </c>
      <c r="KR1" s="70">
        <f t="shared" si="4"/>
        <v>43524</v>
      </c>
      <c r="KS1" s="70">
        <f t="shared" si="4"/>
        <v>43555</v>
      </c>
      <c r="KT1" s="70">
        <f t="shared" si="4"/>
        <v>43585</v>
      </c>
      <c r="KU1" s="70">
        <f t="shared" si="4"/>
        <v>43616</v>
      </c>
      <c r="KV1" s="70">
        <f t="shared" si="4"/>
        <v>43646</v>
      </c>
      <c r="KW1" s="70">
        <f t="shared" si="4"/>
        <v>43677</v>
      </c>
      <c r="KX1" s="70">
        <f t="shared" si="4"/>
        <v>43708</v>
      </c>
      <c r="KY1" s="70">
        <f t="shared" si="4"/>
        <v>43738</v>
      </c>
      <c r="KZ1" s="70">
        <f t="shared" si="4"/>
        <v>43769</v>
      </c>
      <c r="LA1" s="70">
        <f t="shared" si="4"/>
        <v>43799</v>
      </c>
      <c r="LB1" s="70">
        <f t="shared" si="4"/>
        <v>43830</v>
      </c>
      <c r="LC1" s="70">
        <f t="shared" si="4"/>
        <v>43861</v>
      </c>
      <c r="LD1" s="70">
        <f t="shared" si="4"/>
        <v>43890</v>
      </c>
      <c r="LE1" s="70">
        <f t="shared" si="4"/>
        <v>43921</v>
      </c>
      <c r="LF1" s="70">
        <f t="shared" si="4"/>
        <v>43951</v>
      </c>
      <c r="LG1" s="70">
        <f t="shared" si="4"/>
        <v>43982</v>
      </c>
      <c r="LH1" s="70">
        <f t="shared" si="4"/>
        <v>44012</v>
      </c>
      <c r="LI1" s="70">
        <f t="shared" si="4"/>
        <v>44043</v>
      </c>
      <c r="LJ1" s="70">
        <f t="shared" si="4"/>
        <v>44074</v>
      </c>
      <c r="LK1" s="70">
        <f t="shared" si="4"/>
        <v>44104</v>
      </c>
      <c r="LL1" s="70">
        <f t="shared" si="4"/>
        <v>44135</v>
      </c>
      <c r="LM1" s="70">
        <f t="shared" si="4"/>
        <v>44165</v>
      </c>
      <c r="LN1" s="70">
        <f t="shared" si="4"/>
        <v>44196</v>
      </c>
      <c r="LO1" s="70">
        <f t="shared" si="4"/>
        <v>44227</v>
      </c>
      <c r="LP1" s="70">
        <f t="shared" si="4"/>
        <v>44255</v>
      </c>
      <c r="LQ1" s="70">
        <f t="shared" si="4"/>
        <v>44286</v>
      </c>
      <c r="LR1" s="70">
        <f t="shared" ref="LR1:MB1" si="5">EOMONTH(EDATE(LQ1,1),0)</f>
        <v>44316</v>
      </c>
      <c r="LS1" s="70">
        <f t="shared" si="5"/>
        <v>44347</v>
      </c>
      <c r="LT1" s="70">
        <f t="shared" si="5"/>
        <v>44377</v>
      </c>
      <c r="LU1" s="70">
        <f t="shared" si="5"/>
        <v>44408</v>
      </c>
      <c r="LV1" s="70">
        <f t="shared" si="5"/>
        <v>44439</v>
      </c>
      <c r="LW1" s="70">
        <f t="shared" si="5"/>
        <v>44469</v>
      </c>
      <c r="LX1" s="70">
        <f t="shared" si="5"/>
        <v>44500</v>
      </c>
      <c r="LY1" s="70">
        <f t="shared" si="5"/>
        <v>44530</v>
      </c>
      <c r="LZ1" s="70">
        <f t="shared" si="5"/>
        <v>44561</v>
      </c>
      <c r="MA1" s="70">
        <f t="shared" si="5"/>
        <v>44592</v>
      </c>
      <c r="MB1" s="70">
        <f t="shared" si="5"/>
        <v>44620</v>
      </c>
      <c r="MC1" s="70">
        <f>EOMONTH(EDATE(MB1,1),0)</f>
        <v>44651</v>
      </c>
      <c r="MD1" s="70">
        <f>EOMONTH(EDATE(MC1,1),0)</f>
        <v>44681</v>
      </c>
      <c r="ME1" s="70">
        <f>EOMONTH(EDATE(MD1,1),0)</f>
        <v>44712</v>
      </c>
      <c r="MF1" s="70">
        <f>EOMONTH(EDATE(ME1,1),0)</f>
        <v>44742</v>
      </c>
      <c r="MG1" s="70">
        <f t="shared" ref="MG1:MV1" si="6">EOMONTH(EDATE(MF1,1),0)</f>
        <v>44773</v>
      </c>
      <c r="MH1" s="70">
        <f t="shared" si="6"/>
        <v>44804</v>
      </c>
      <c r="MI1" s="70">
        <f t="shared" si="6"/>
        <v>44834</v>
      </c>
      <c r="MJ1" s="70">
        <f t="shared" si="6"/>
        <v>44865</v>
      </c>
      <c r="MK1" s="70">
        <f t="shared" si="6"/>
        <v>44895</v>
      </c>
      <c r="ML1" s="70">
        <f t="shared" si="6"/>
        <v>44926</v>
      </c>
      <c r="MM1" s="70">
        <f t="shared" si="6"/>
        <v>44957</v>
      </c>
      <c r="MN1" s="70">
        <f t="shared" si="6"/>
        <v>44985</v>
      </c>
      <c r="MO1" s="70">
        <f t="shared" si="6"/>
        <v>45016</v>
      </c>
      <c r="MP1" s="70">
        <f t="shared" si="6"/>
        <v>45046</v>
      </c>
      <c r="MQ1" s="70">
        <f t="shared" si="6"/>
        <v>45077</v>
      </c>
      <c r="MR1" s="70">
        <f t="shared" si="6"/>
        <v>45107</v>
      </c>
      <c r="MS1" s="70">
        <f t="shared" si="6"/>
        <v>45138</v>
      </c>
      <c r="MT1" s="70">
        <f t="shared" si="6"/>
        <v>45169</v>
      </c>
      <c r="MU1" s="70">
        <f t="shared" si="6"/>
        <v>45199</v>
      </c>
      <c r="MV1" s="70">
        <f t="shared" si="6"/>
        <v>45230</v>
      </c>
      <c r="MW1" s="70">
        <f>EOMONTH(EDATE(MV1,1),0)</f>
        <v>45260</v>
      </c>
      <c r="MX1" s="70">
        <f t="shared" ref="MX1:NI1" si="7">EOMONTH(EDATE(MW1,1),0)</f>
        <v>45291</v>
      </c>
      <c r="MY1" s="70">
        <f t="shared" si="7"/>
        <v>45322</v>
      </c>
      <c r="MZ1" s="70">
        <f t="shared" si="7"/>
        <v>45351</v>
      </c>
      <c r="NA1" s="70">
        <f t="shared" si="7"/>
        <v>45382</v>
      </c>
      <c r="NB1" s="70">
        <f t="shared" si="7"/>
        <v>45412</v>
      </c>
      <c r="NC1" s="70">
        <f t="shared" si="7"/>
        <v>45443</v>
      </c>
      <c r="ND1" s="70">
        <f t="shared" si="7"/>
        <v>45473</v>
      </c>
      <c r="NE1" s="70">
        <f t="shared" si="7"/>
        <v>45504</v>
      </c>
      <c r="NF1" s="70">
        <f t="shared" si="7"/>
        <v>45535</v>
      </c>
      <c r="NG1" s="70">
        <f t="shared" si="7"/>
        <v>45565</v>
      </c>
      <c r="NH1" s="70">
        <f t="shared" si="7"/>
        <v>45596</v>
      </c>
      <c r="NI1" s="70">
        <f t="shared" si="7"/>
        <v>45626</v>
      </c>
      <c r="NJ1" s="70">
        <v>45657</v>
      </c>
      <c r="NK1" s="69">
        <v>2025</v>
      </c>
      <c r="NL1" s="69">
        <v>2026</v>
      </c>
      <c r="NM1" s="69">
        <v>2027</v>
      </c>
      <c r="NN1" s="69">
        <v>2028</v>
      </c>
      <c r="NO1" s="69">
        <v>2029</v>
      </c>
      <c r="NP1" s="69">
        <v>2030</v>
      </c>
      <c r="NQ1" s="69">
        <v>2031</v>
      </c>
      <c r="NR1" s="69">
        <v>2032</v>
      </c>
      <c r="NS1" s="69">
        <v>2033</v>
      </c>
      <c r="NT1" s="69">
        <v>2034</v>
      </c>
      <c r="NU1" s="69">
        <v>2035</v>
      </c>
      <c r="NV1" s="69">
        <v>2036</v>
      </c>
      <c r="NW1" s="69">
        <v>2037</v>
      </c>
      <c r="NX1" s="69">
        <v>2038</v>
      </c>
      <c r="NY1" s="69">
        <v>2039</v>
      </c>
      <c r="NZ1" s="69">
        <v>2040</v>
      </c>
      <c r="OA1" s="69">
        <v>2041</v>
      </c>
      <c r="OB1" s="69">
        <v>2042</v>
      </c>
      <c r="OC1" s="69">
        <v>2043</v>
      </c>
      <c r="OD1" s="69">
        <v>2044</v>
      </c>
      <c r="OE1" s="69">
        <v>2045</v>
      </c>
      <c r="OF1" s="69">
        <v>2046</v>
      </c>
      <c r="OG1" s="69">
        <v>2047</v>
      </c>
      <c r="OH1" s="69">
        <v>2048</v>
      </c>
      <c r="OI1" s="9" t="s">
        <v>124</v>
      </c>
    </row>
    <row r="2" spans="1:399" s="75" customFormat="1">
      <c r="A2" t="s">
        <v>148</v>
      </c>
      <c r="B2"/>
      <c r="C2"/>
      <c r="D2"/>
      <c r="E2"/>
      <c r="F2"/>
      <c r="G2"/>
      <c r="H2"/>
      <c r="I2" s="71">
        <v>6.84</v>
      </c>
      <c r="J2" s="71">
        <v>1.86</v>
      </c>
      <c r="K2" s="71">
        <v>1.53</v>
      </c>
      <c r="L2" s="71">
        <v>2.62</v>
      </c>
      <c r="M2" s="71">
        <v>2.81</v>
      </c>
      <c r="N2" s="71">
        <v>1.71</v>
      </c>
      <c r="O2" s="71">
        <v>1.7</v>
      </c>
      <c r="P2" s="71">
        <v>1.02</v>
      </c>
      <c r="Q2" s="71">
        <v>1.55</v>
      </c>
      <c r="R2" s="71">
        <v>2.4300000000000002</v>
      </c>
      <c r="S2" s="71">
        <v>2.67</v>
      </c>
      <c r="T2" s="71">
        <v>2.2599999999999998</v>
      </c>
      <c r="U2" s="71">
        <v>2.36</v>
      </c>
      <c r="V2" s="71">
        <v>0.99</v>
      </c>
      <c r="W2" s="71">
        <v>0.99</v>
      </c>
      <c r="X2" s="71">
        <v>1.41</v>
      </c>
      <c r="Y2" s="71">
        <v>1.47</v>
      </c>
      <c r="Z2" s="71">
        <v>1.56</v>
      </c>
      <c r="AA2" s="71">
        <v>1.34</v>
      </c>
      <c r="AB2" s="71">
        <v>1.03</v>
      </c>
      <c r="AC2" s="71">
        <v>0.35</v>
      </c>
      <c r="AD2" s="71">
        <v>1.26</v>
      </c>
      <c r="AE2" s="71">
        <v>1.22</v>
      </c>
      <c r="AF2" s="71">
        <v>1.19</v>
      </c>
      <c r="AG2" s="71">
        <v>1.1100000000000001</v>
      </c>
      <c r="AH2" s="71">
        <v>0.44</v>
      </c>
      <c r="AI2" s="71">
        <v>0.15</v>
      </c>
      <c r="AJ2" s="71">
        <v>0.3</v>
      </c>
      <c r="AK2" s="71">
        <v>0.32</v>
      </c>
      <c r="AL2" s="71">
        <v>0.47</v>
      </c>
      <c r="AM2" s="71">
        <v>1.18</v>
      </c>
      <c r="AN2" s="71">
        <v>0.5</v>
      </c>
      <c r="AO2" s="71">
        <v>0.51</v>
      </c>
      <c r="AP2" s="71">
        <v>0.88</v>
      </c>
      <c r="AQ2" s="71">
        <v>0.41</v>
      </c>
      <c r="AR2" s="71">
        <v>0.54</v>
      </c>
      <c r="AS2" s="71">
        <v>0.22</v>
      </c>
      <c r="AT2" s="71">
        <v>-0.02</v>
      </c>
      <c r="AU2" s="71">
        <v>0.06</v>
      </c>
      <c r="AV2" s="71">
        <v>0.23</v>
      </c>
      <c r="AW2" s="71">
        <v>0.17</v>
      </c>
      <c r="AX2" s="71">
        <v>0.43</v>
      </c>
      <c r="AY2" s="71">
        <v>0.71</v>
      </c>
      <c r="AZ2" s="71">
        <v>0.46</v>
      </c>
      <c r="BA2" s="71">
        <v>0.34</v>
      </c>
      <c r="BB2" s="71">
        <v>0.24</v>
      </c>
      <c r="BC2" s="71">
        <v>0.5</v>
      </c>
      <c r="BD2" s="71">
        <v>0.02</v>
      </c>
      <c r="BE2" s="71">
        <v>-0.12</v>
      </c>
      <c r="BF2" s="71">
        <v>-0.51</v>
      </c>
      <c r="BG2" s="71">
        <v>-0.22</v>
      </c>
      <c r="BH2" s="71">
        <v>0.02</v>
      </c>
      <c r="BI2" s="71">
        <v>-0.12</v>
      </c>
      <c r="BJ2" s="71">
        <v>0.33</v>
      </c>
      <c r="BK2" s="71">
        <v>0.7</v>
      </c>
      <c r="BL2" s="71">
        <v>1.05</v>
      </c>
      <c r="BM2" s="71">
        <v>1.1000000000000001</v>
      </c>
      <c r="BN2" s="71">
        <v>0.56000000000000005</v>
      </c>
      <c r="BO2" s="71">
        <v>0.3</v>
      </c>
      <c r="BP2" s="71">
        <v>0.19</v>
      </c>
      <c r="BQ2" s="71">
        <v>1.0900000000000001</v>
      </c>
      <c r="BR2" s="71">
        <v>0.56000000000000005</v>
      </c>
      <c r="BS2" s="71">
        <v>0.31</v>
      </c>
      <c r="BT2" s="71">
        <v>1.19</v>
      </c>
      <c r="BU2" s="71">
        <v>0.95</v>
      </c>
      <c r="BV2" s="71">
        <v>0.6</v>
      </c>
      <c r="BW2" s="71">
        <v>0.62</v>
      </c>
      <c r="BX2" s="71">
        <v>0.13</v>
      </c>
      <c r="BY2" s="71">
        <v>0.22</v>
      </c>
      <c r="BZ2" s="71">
        <v>0.42</v>
      </c>
      <c r="CA2" s="71">
        <v>0.01</v>
      </c>
      <c r="CB2" s="71">
        <v>0.23</v>
      </c>
      <c r="CC2" s="71">
        <v>1.61</v>
      </c>
      <c r="CD2" s="71">
        <v>1.31</v>
      </c>
      <c r="CE2" s="71">
        <v>0.23</v>
      </c>
      <c r="CF2" s="71">
        <v>0.14000000000000001</v>
      </c>
      <c r="CG2" s="71">
        <v>0.32</v>
      </c>
      <c r="CH2" s="71">
        <v>0.59</v>
      </c>
      <c r="CI2" s="71">
        <v>0.56999999999999995</v>
      </c>
      <c r="CJ2" s="71">
        <v>0.46</v>
      </c>
      <c r="CK2" s="71">
        <v>0.38</v>
      </c>
      <c r="CL2" s="71">
        <v>0.57999999999999996</v>
      </c>
      <c r="CM2" s="71">
        <v>0.41</v>
      </c>
      <c r="CN2" s="71">
        <v>0.52</v>
      </c>
      <c r="CO2" s="71">
        <v>1.33</v>
      </c>
      <c r="CP2" s="71">
        <v>0.7</v>
      </c>
      <c r="CQ2" s="71">
        <v>0.28000000000000003</v>
      </c>
      <c r="CR2" s="71">
        <v>0.83</v>
      </c>
      <c r="CS2" s="71">
        <v>0.71</v>
      </c>
      <c r="CT2" s="71">
        <v>0.65</v>
      </c>
      <c r="CU2" s="71">
        <v>0.52</v>
      </c>
      <c r="CV2" s="71">
        <v>0.36</v>
      </c>
      <c r="CW2" s="71">
        <v>0.6</v>
      </c>
      <c r="CX2" s="71">
        <v>0.8</v>
      </c>
      <c r="CY2" s="71">
        <v>0.21</v>
      </c>
      <c r="CZ2" s="71">
        <v>0.42</v>
      </c>
      <c r="DA2" s="71">
        <v>1.19</v>
      </c>
      <c r="DB2" s="71">
        <v>0.65</v>
      </c>
      <c r="DC2" s="71">
        <v>0.72</v>
      </c>
      <c r="DD2" s="71">
        <v>1.31</v>
      </c>
      <c r="DE2" s="71">
        <v>3.02</v>
      </c>
      <c r="DF2" s="71">
        <v>2.1</v>
      </c>
      <c r="DG2" s="71">
        <v>2.25</v>
      </c>
      <c r="DH2" s="71">
        <v>1.57</v>
      </c>
      <c r="DI2" s="71">
        <v>1.23</v>
      </c>
      <c r="DJ2" s="71">
        <v>0.97</v>
      </c>
      <c r="DK2" s="71">
        <v>0.61</v>
      </c>
      <c r="DL2" s="71">
        <v>-0.15</v>
      </c>
      <c r="DM2" s="71">
        <v>0.2</v>
      </c>
      <c r="DN2" s="71">
        <v>0.34</v>
      </c>
      <c r="DO2" s="71">
        <v>0.78</v>
      </c>
      <c r="DP2" s="71">
        <v>0.28999999999999998</v>
      </c>
      <c r="DQ2" s="71">
        <v>0.34</v>
      </c>
      <c r="DR2" s="71">
        <v>0.52</v>
      </c>
      <c r="DS2" s="71">
        <v>0.76</v>
      </c>
      <c r="DT2" s="71">
        <v>0.61</v>
      </c>
      <c r="DU2" s="71">
        <v>0.47</v>
      </c>
      <c r="DV2" s="71">
        <v>0.37</v>
      </c>
      <c r="DW2" s="71">
        <v>0.51</v>
      </c>
      <c r="DX2" s="71">
        <v>0.71</v>
      </c>
      <c r="DY2" s="71">
        <v>0.91</v>
      </c>
      <c r="DZ2" s="71">
        <v>0.69</v>
      </c>
      <c r="EA2" s="71">
        <v>0.33</v>
      </c>
      <c r="EB2" s="71">
        <v>0.44</v>
      </c>
      <c r="EC2" s="71">
        <v>0.69</v>
      </c>
      <c r="ED2" s="71">
        <v>0.86</v>
      </c>
      <c r="EE2" s="71">
        <v>0.57999999999999996</v>
      </c>
      <c r="EF2" s="71">
        <v>0.59</v>
      </c>
      <c r="EG2" s="71">
        <v>0.61</v>
      </c>
      <c r="EH2" s="71">
        <v>0.87</v>
      </c>
      <c r="EI2" s="71">
        <v>0.49</v>
      </c>
      <c r="EJ2" s="71">
        <v>-0.02</v>
      </c>
      <c r="EK2" s="71">
        <v>0.25</v>
      </c>
      <c r="EL2" s="71">
        <v>0.17</v>
      </c>
      <c r="EM2" s="71">
        <v>0.35</v>
      </c>
      <c r="EN2" s="71">
        <v>0.75</v>
      </c>
      <c r="EO2" s="71">
        <v>0.55000000000000004</v>
      </c>
      <c r="EP2" s="71">
        <v>0.36</v>
      </c>
      <c r="EQ2" s="71">
        <v>0.59</v>
      </c>
      <c r="ER2" s="71">
        <v>0.41</v>
      </c>
      <c r="ES2" s="71">
        <v>0.43</v>
      </c>
      <c r="ET2" s="71">
        <v>0.21</v>
      </c>
      <c r="EU2" s="71">
        <v>0.1</v>
      </c>
      <c r="EV2" s="71">
        <v>-0.21</v>
      </c>
      <c r="EW2" s="71">
        <v>0.19</v>
      </c>
      <c r="EX2" s="71">
        <v>0.05</v>
      </c>
      <c r="EY2" s="71">
        <v>0.21</v>
      </c>
      <c r="EZ2" s="71">
        <v>0.33</v>
      </c>
      <c r="FA2" s="71">
        <v>0.31</v>
      </c>
      <c r="FB2" s="71">
        <v>0.48</v>
      </c>
      <c r="FC2" s="71">
        <v>0.44</v>
      </c>
      <c r="FD2" s="71">
        <v>0.44</v>
      </c>
      <c r="FE2" s="71">
        <v>0.37</v>
      </c>
      <c r="FF2" s="71">
        <v>0.25</v>
      </c>
      <c r="FG2" s="71">
        <v>0.28000000000000003</v>
      </c>
      <c r="FH2" s="71">
        <v>0.28000000000000003</v>
      </c>
      <c r="FI2" s="71">
        <v>0.24</v>
      </c>
      <c r="FJ2" s="71">
        <v>0.47</v>
      </c>
      <c r="FK2" s="71">
        <v>0.18</v>
      </c>
      <c r="FL2" s="71">
        <v>0.3</v>
      </c>
      <c r="FM2" s="71">
        <v>0.38</v>
      </c>
      <c r="FN2" s="71">
        <v>0.74</v>
      </c>
      <c r="FO2" s="71">
        <v>0.54</v>
      </c>
      <c r="FP2" s="71">
        <v>0.49</v>
      </c>
      <c r="FQ2" s="71">
        <v>0.48</v>
      </c>
      <c r="FR2" s="71">
        <v>0.55000000000000004</v>
      </c>
      <c r="FS2" s="71">
        <v>0.79</v>
      </c>
      <c r="FT2" s="71">
        <v>0.74</v>
      </c>
      <c r="FU2" s="71">
        <v>0.53</v>
      </c>
      <c r="FV2" s="71">
        <v>0.28000000000000003</v>
      </c>
      <c r="FW2" s="71">
        <v>0.26</v>
      </c>
      <c r="FX2" s="71">
        <v>0.45</v>
      </c>
      <c r="FY2" s="71">
        <v>0.36</v>
      </c>
      <c r="FZ2" s="71">
        <v>0.28000000000000003</v>
      </c>
      <c r="GA2" s="71">
        <v>0.48</v>
      </c>
      <c r="GB2" s="71">
        <v>0.55000000000000004</v>
      </c>
      <c r="GC2" s="71">
        <v>0.2</v>
      </c>
      <c r="GD2" s="71">
        <v>0.48</v>
      </c>
      <c r="GE2" s="71">
        <v>0.47</v>
      </c>
      <c r="GF2" s="71">
        <v>0.36</v>
      </c>
      <c r="GG2" s="71">
        <v>0.24</v>
      </c>
      <c r="GH2" s="71">
        <v>0.15</v>
      </c>
      <c r="GI2" s="71">
        <v>0.24</v>
      </c>
      <c r="GJ2" s="71">
        <v>0.28000000000000003</v>
      </c>
      <c r="GK2" s="71">
        <v>0.41</v>
      </c>
      <c r="GL2" s="71">
        <v>0.37</v>
      </c>
      <c r="GM2" s="71">
        <v>0.75</v>
      </c>
      <c r="GN2" s="71">
        <v>0.78</v>
      </c>
      <c r="GO2" s="71">
        <v>0.52</v>
      </c>
      <c r="GP2" s="71">
        <v>0.56999999999999995</v>
      </c>
      <c r="GQ2" s="71">
        <v>0.43</v>
      </c>
      <c r="GR2" s="71">
        <v>0</v>
      </c>
      <c r="GS2" s="71">
        <v>0.01</v>
      </c>
      <c r="GT2" s="71">
        <v>0.04</v>
      </c>
      <c r="GU2" s="71">
        <v>0.45</v>
      </c>
      <c r="GV2" s="71">
        <v>0.75</v>
      </c>
      <c r="GW2" s="71">
        <v>0.83</v>
      </c>
      <c r="GX2" s="71">
        <v>0.63</v>
      </c>
      <c r="GY2" s="71">
        <v>0.83</v>
      </c>
      <c r="GZ2" s="71">
        <v>0.8</v>
      </c>
      <c r="HA2" s="71">
        <v>0.79</v>
      </c>
      <c r="HB2" s="71">
        <v>0.77</v>
      </c>
      <c r="HC2" s="71">
        <v>0.47</v>
      </c>
      <c r="HD2" s="71">
        <v>0.15</v>
      </c>
      <c r="HE2" s="71">
        <v>0.16</v>
      </c>
      <c r="HF2" s="71">
        <v>0.37</v>
      </c>
      <c r="HG2" s="71">
        <v>0.53</v>
      </c>
      <c r="HH2" s="71">
        <v>0.43</v>
      </c>
      <c r="HI2" s="71">
        <v>0.52</v>
      </c>
      <c r="HJ2" s="71">
        <v>0.5</v>
      </c>
      <c r="HK2" s="71">
        <v>0.56000000000000005</v>
      </c>
      <c r="HL2" s="71">
        <v>0.45</v>
      </c>
      <c r="HM2" s="71">
        <v>0.21</v>
      </c>
      <c r="HN2" s="71">
        <v>0.64</v>
      </c>
      <c r="HO2" s="71">
        <v>0.36</v>
      </c>
      <c r="HP2" s="71">
        <v>0.08</v>
      </c>
      <c r="HQ2" s="71">
        <v>0.43</v>
      </c>
      <c r="HR2" s="71">
        <v>0.41</v>
      </c>
      <c r="HS2" s="71">
        <v>0.56999999999999995</v>
      </c>
      <c r="HT2" s="71">
        <v>0.59</v>
      </c>
      <c r="HU2" s="71">
        <v>0.6</v>
      </c>
      <c r="HV2" s="71">
        <v>0.79</v>
      </c>
      <c r="HW2" s="71">
        <v>0.86</v>
      </c>
      <c r="HX2" s="71">
        <v>0.6</v>
      </c>
      <c r="HY2" s="71">
        <v>0.47</v>
      </c>
      <c r="HZ2" s="71">
        <v>0.55000000000000004</v>
      </c>
      <c r="IA2" s="71">
        <v>0.37</v>
      </c>
      <c r="IB2" s="71">
        <v>0.26</v>
      </c>
      <c r="IC2" s="71">
        <v>0.03</v>
      </c>
      <c r="ID2" s="71">
        <v>0.24</v>
      </c>
      <c r="IE2" s="71">
        <v>0.35</v>
      </c>
      <c r="IF2" s="71">
        <v>0.56999999999999995</v>
      </c>
      <c r="IG2" s="71">
        <v>0.54</v>
      </c>
      <c r="IH2" s="71">
        <v>0.92</v>
      </c>
      <c r="II2" s="71">
        <v>0.55000000000000004</v>
      </c>
      <c r="IJ2" s="71">
        <v>0.69</v>
      </c>
      <c r="IK2" s="71">
        <v>0.92</v>
      </c>
      <c r="IL2" s="71">
        <v>0.67</v>
      </c>
      <c r="IM2" s="71">
        <v>0.46</v>
      </c>
      <c r="IN2" s="71">
        <v>0.4</v>
      </c>
      <c r="IO2" s="71">
        <v>0.01</v>
      </c>
      <c r="IP2" s="71">
        <v>0.25</v>
      </c>
      <c r="IQ2" s="71">
        <v>0.56999999999999995</v>
      </c>
      <c r="IR2" s="71">
        <v>0.42</v>
      </c>
      <c r="IS2" s="71">
        <v>0.51</v>
      </c>
      <c r="IT2" s="71">
        <v>0.78</v>
      </c>
      <c r="IU2" s="71">
        <v>1.24</v>
      </c>
      <c r="IV2" s="71">
        <v>1.22</v>
      </c>
      <c r="IW2" s="71">
        <v>1.32</v>
      </c>
      <c r="IX2" s="71">
        <v>0.71</v>
      </c>
      <c r="IY2" s="71">
        <v>0.74</v>
      </c>
      <c r="IZ2" s="71">
        <v>0.79</v>
      </c>
      <c r="JA2" s="71">
        <v>0.62</v>
      </c>
      <c r="JB2" s="71">
        <v>0.22</v>
      </c>
      <c r="JC2" s="71">
        <v>0.54</v>
      </c>
      <c r="JD2" s="71">
        <v>0.82</v>
      </c>
      <c r="JE2" s="71">
        <v>1.01</v>
      </c>
      <c r="JF2" s="71">
        <v>0.96</v>
      </c>
      <c r="JG2" s="71">
        <v>1.27</v>
      </c>
      <c r="JH2" s="71">
        <v>0.9</v>
      </c>
      <c r="JI2" s="71">
        <v>0.43</v>
      </c>
      <c r="JJ2" s="71">
        <v>0.61</v>
      </c>
      <c r="JK2" s="71">
        <v>0.78</v>
      </c>
      <c r="JL2" s="71">
        <v>0.35</v>
      </c>
      <c r="JM2" s="71">
        <v>0.52</v>
      </c>
      <c r="JN2" s="71">
        <v>0.44</v>
      </c>
      <c r="JO2" s="71">
        <v>0.08</v>
      </c>
      <c r="JP2" s="71">
        <v>0.26</v>
      </c>
      <c r="JQ2" s="71">
        <v>0.18</v>
      </c>
      <c r="JR2" s="71">
        <v>0.3</v>
      </c>
      <c r="JS2" s="71">
        <v>0.38</v>
      </c>
      <c r="JT2" s="71">
        <v>0.33</v>
      </c>
      <c r="JU2" s="71">
        <v>0.25</v>
      </c>
      <c r="JV2" s="71">
        <v>0.14000000000000001</v>
      </c>
      <c r="JW2" s="71">
        <v>0.31</v>
      </c>
      <c r="JX2" s="71">
        <v>-0.23</v>
      </c>
      <c r="JY2" s="71">
        <v>0.24</v>
      </c>
      <c r="JZ2" s="71">
        <v>0.19</v>
      </c>
      <c r="KA2" s="71">
        <v>0.16</v>
      </c>
      <c r="KB2" s="71">
        <v>0.42</v>
      </c>
      <c r="KC2" s="71">
        <v>0.28000000000000003</v>
      </c>
      <c r="KD2" s="71">
        <v>0.44</v>
      </c>
      <c r="KE2" s="71">
        <v>0.28999999999999998</v>
      </c>
      <c r="KF2" s="71">
        <v>0.32</v>
      </c>
      <c r="KG2" s="71">
        <v>0.09</v>
      </c>
      <c r="KH2" s="71">
        <v>0.22</v>
      </c>
      <c r="KI2" s="71">
        <v>0.4</v>
      </c>
      <c r="KJ2" s="71">
        <v>1.26</v>
      </c>
      <c r="KK2" s="71">
        <v>0.33</v>
      </c>
      <c r="KL2" s="71">
        <v>-0.09</v>
      </c>
      <c r="KM2" s="71">
        <v>0.48</v>
      </c>
      <c r="KN2" s="71">
        <v>0.45</v>
      </c>
      <c r="KO2" s="71">
        <v>-0.21</v>
      </c>
      <c r="KP2" s="71">
        <v>0.15</v>
      </c>
      <c r="KQ2" s="71">
        <v>0.32</v>
      </c>
      <c r="KR2" s="71">
        <v>0.43</v>
      </c>
      <c r="KS2" s="71">
        <v>0.75</v>
      </c>
      <c r="KT2" s="71">
        <v>0.56999999999999995</v>
      </c>
      <c r="KU2" s="71">
        <v>0.13</v>
      </c>
      <c r="KV2" s="71">
        <v>0.01</v>
      </c>
      <c r="KW2" s="71">
        <v>0.19</v>
      </c>
      <c r="KX2" s="71">
        <v>0.11</v>
      </c>
      <c r="KY2" s="71">
        <v>-0.04</v>
      </c>
      <c r="KZ2" s="71">
        <v>0.1</v>
      </c>
      <c r="LA2" s="71">
        <v>0.51</v>
      </c>
      <c r="LB2" s="71">
        <v>1.1499999999999999</v>
      </c>
      <c r="LC2" s="71">
        <v>0.21</v>
      </c>
      <c r="LD2" s="71">
        <v>0.25</v>
      </c>
      <c r="LE2" s="71">
        <v>7.0000000000000007E-2</v>
      </c>
      <c r="LF2" s="71">
        <v>-0.31</v>
      </c>
      <c r="LG2" s="71">
        <v>-0.38</v>
      </c>
      <c r="LH2" s="71">
        <v>0.26</v>
      </c>
      <c r="LI2" s="71">
        <v>0.36</v>
      </c>
      <c r="LJ2" s="71">
        <v>0.24</v>
      </c>
      <c r="LK2" s="71">
        <v>0.64</v>
      </c>
      <c r="LL2" s="71">
        <v>0.86</v>
      </c>
      <c r="LM2" s="71">
        <v>0.89</v>
      </c>
      <c r="LN2" s="71">
        <v>1.35</v>
      </c>
      <c r="LO2" s="71">
        <v>0.25</v>
      </c>
      <c r="LP2" s="71">
        <v>0.86</v>
      </c>
      <c r="LQ2" s="71">
        <v>0.93</v>
      </c>
      <c r="LR2" s="71">
        <v>0.31</v>
      </c>
      <c r="LS2" s="72">
        <v>0.83</v>
      </c>
      <c r="LT2" s="72">
        <v>0.53</v>
      </c>
      <c r="LU2" s="72">
        <v>0.96</v>
      </c>
      <c r="LV2" s="72">
        <v>0.87</v>
      </c>
      <c r="LW2" s="72">
        <v>1.1599999999999999</v>
      </c>
      <c r="LX2" s="71">
        <v>1.25</v>
      </c>
      <c r="LY2" s="71">
        <v>0.95</v>
      </c>
      <c r="LZ2" s="71">
        <v>0.73</v>
      </c>
      <c r="MA2" s="71">
        <v>0.54</v>
      </c>
      <c r="MB2" s="71">
        <v>1.01</v>
      </c>
      <c r="MC2" s="71">
        <v>1.62</v>
      </c>
      <c r="MD2" s="71">
        <v>1.06</v>
      </c>
      <c r="ME2" s="71">
        <v>0.47</v>
      </c>
      <c r="MF2" s="71">
        <v>0.67</v>
      </c>
      <c r="MG2" s="71">
        <v>-0.68</v>
      </c>
      <c r="MH2" s="71">
        <v>-0.36</v>
      </c>
      <c r="MI2" s="71">
        <v>-0.28999999999999998</v>
      </c>
      <c r="MJ2" s="71">
        <v>0.59</v>
      </c>
      <c r="MK2" s="71">
        <v>0.41</v>
      </c>
      <c r="ML2" s="71">
        <v>0.62</v>
      </c>
      <c r="MM2" s="71">
        <v>0.53</v>
      </c>
      <c r="MN2" s="71">
        <v>0.84</v>
      </c>
      <c r="MO2" s="71">
        <v>0.71</v>
      </c>
      <c r="MP2" s="71">
        <v>0.61</v>
      </c>
      <c r="MQ2" s="71">
        <v>0.23</v>
      </c>
      <c r="MR2" s="71">
        <v>-0.08</v>
      </c>
      <c r="MS2" s="71">
        <v>0.12</v>
      </c>
      <c r="MT2" s="71">
        <v>0.23</v>
      </c>
      <c r="MU2" s="71">
        <v>0.26</v>
      </c>
      <c r="MV2" s="71">
        <v>0.24</v>
      </c>
      <c r="MW2" s="71">
        <v>0.28000000000000003</v>
      </c>
      <c r="MX2" s="71">
        <v>0.56000000000000005</v>
      </c>
      <c r="MY2" s="71">
        <v>0.42</v>
      </c>
      <c r="MZ2" s="71">
        <v>0.83</v>
      </c>
      <c r="NA2" s="71">
        <v>0.16</v>
      </c>
      <c r="NB2" s="71">
        <v>0.38</v>
      </c>
      <c r="NC2" s="71">
        <v>0.46</v>
      </c>
      <c r="ND2" s="71">
        <v>0.21</v>
      </c>
      <c r="NE2" s="71">
        <v>0.38</v>
      </c>
      <c r="NF2" s="71">
        <v>-0.02</v>
      </c>
      <c r="NG2" s="71">
        <v>0.44</v>
      </c>
      <c r="NH2" s="71">
        <v>0.56000000000000005</v>
      </c>
      <c r="NI2" s="71">
        <v>0.39</v>
      </c>
      <c r="NJ2" s="71">
        <v>0.52</v>
      </c>
      <c r="NK2" s="73"/>
      <c r="NL2" s="73"/>
      <c r="NM2" s="73"/>
      <c r="NN2" s="73"/>
      <c r="NO2" s="74"/>
      <c r="NP2" s="74"/>
      <c r="NQ2" s="74"/>
      <c r="NR2" s="74"/>
      <c r="NS2" s="74"/>
      <c r="NT2" s="74"/>
      <c r="NU2" s="74"/>
      <c r="NV2" s="74"/>
      <c r="NW2" s="74"/>
      <c r="NX2" s="74"/>
      <c r="NY2" s="74"/>
      <c r="NZ2" s="74"/>
      <c r="OA2" s="74"/>
      <c r="OB2" s="74"/>
      <c r="OC2" s="74"/>
      <c r="OD2" s="74"/>
      <c r="OE2" s="74"/>
      <c r="OF2" s="74"/>
      <c r="OG2" s="74"/>
      <c r="OH2" s="74"/>
      <c r="OI2" s="74"/>
    </row>
    <row r="3" spans="1:399" s="75" customFormat="1">
      <c r="A3" t="s">
        <v>149</v>
      </c>
      <c r="B3"/>
      <c r="C3"/>
      <c r="D3"/>
      <c r="E3"/>
      <c r="F3"/>
      <c r="G3"/>
      <c r="H3"/>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71"/>
      <c r="EX3" s="71"/>
      <c r="EY3" s="71"/>
      <c r="EZ3" s="71"/>
      <c r="FA3" s="71"/>
      <c r="FB3" s="71"/>
      <c r="FC3" s="71"/>
      <c r="FD3" s="71"/>
      <c r="FE3" s="71"/>
      <c r="FF3" s="71"/>
      <c r="FG3" s="71"/>
      <c r="FH3" s="71"/>
      <c r="FI3" s="71"/>
      <c r="FJ3" s="71"/>
      <c r="FK3" s="71"/>
      <c r="FL3" s="71"/>
      <c r="FM3" s="71"/>
      <c r="FN3" s="71"/>
      <c r="FO3" s="71"/>
      <c r="FP3" s="71"/>
      <c r="FQ3" s="71"/>
      <c r="FR3" s="71"/>
      <c r="FS3" s="71"/>
      <c r="FT3" s="71"/>
      <c r="FU3" s="71"/>
      <c r="FV3" s="71"/>
      <c r="FW3" s="71"/>
      <c r="FX3" s="71"/>
      <c r="FY3" s="71"/>
      <c r="FZ3" s="71"/>
      <c r="GA3" s="71"/>
      <c r="GB3" s="71"/>
      <c r="GC3" s="71"/>
      <c r="GD3" s="71"/>
      <c r="GE3" s="71"/>
      <c r="GF3" s="71"/>
      <c r="GG3" s="71"/>
      <c r="GH3" s="71"/>
      <c r="GI3" s="71"/>
      <c r="GJ3" s="71"/>
      <c r="GK3" s="71"/>
      <c r="GL3" s="71"/>
      <c r="GM3" s="71"/>
      <c r="GN3" s="71"/>
      <c r="GO3" s="71"/>
      <c r="GP3" s="71"/>
      <c r="GQ3" s="71"/>
      <c r="GR3" s="71"/>
      <c r="GS3" s="71"/>
      <c r="GT3" s="71"/>
      <c r="GU3" s="71"/>
      <c r="GV3" s="71"/>
      <c r="GW3" s="71"/>
      <c r="GX3" s="71"/>
      <c r="GY3" s="71"/>
      <c r="GZ3" s="71"/>
      <c r="HA3" s="71"/>
      <c r="HB3" s="71"/>
      <c r="HC3" s="71"/>
      <c r="HD3" s="71"/>
      <c r="HE3" s="71"/>
      <c r="HF3" s="71"/>
      <c r="HG3" s="71"/>
      <c r="HH3" s="71"/>
      <c r="HI3" s="71"/>
      <c r="HJ3" s="71"/>
      <c r="HK3" s="71"/>
      <c r="HL3" s="71"/>
      <c r="HM3" s="71"/>
      <c r="HN3" s="71"/>
      <c r="HO3" s="71"/>
      <c r="HP3" s="71"/>
      <c r="HQ3" s="71"/>
      <c r="HR3" s="71"/>
      <c r="HS3" s="71"/>
      <c r="HT3" s="71"/>
      <c r="HU3" s="71"/>
      <c r="HV3" s="71"/>
      <c r="HW3" s="71"/>
      <c r="HX3" s="71"/>
      <c r="HY3" s="71"/>
      <c r="HZ3" s="71"/>
      <c r="IA3" s="71"/>
      <c r="IB3" s="71"/>
      <c r="IC3" s="71"/>
      <c r="ID3" s="71"/>
      <c r="IE3" s="71"/>
      <c r="IF3" s="71"/>
      <c r="IG3" s="71"/>
      <c r="IH3" s="71"/>
      <c r="II3" s="71"/>
      <c r="IJ3" s="71"/>
      <c r="IK3" s="71"/>
      <c r="IL3" s="71"/>
      <c r="IM3" s="71"/>
      <c r="IN3" s="71"/>
      <c r="IO3" s="71"/>
      <c r="IP3" s="71"/>
      <c r="IQ3" s="71"/>
      <c r="IR3" s="71"/>
      <c r="IS3" s="71"/>
      <c r="IT3" s="71"/>
      <c r="IU3" s="71"/>
      <c r="IV3" s="71"/>
      <c r="IW3" s="71"/>
      <c r="IX3" s="71"/>
      <c r="IY3" s="71"/>
      <c r="IZ3" s="71"/>
      <c r="JA3" s="71"/>
      <c r="JB3" s="71"/>
      <c r="JC3" s="71"/>
      <c r="JD3" s="71"/>
      <c r="JE3" s="71"/>
      <c r="JF3" s="71"/>
      <c r="JG3" s="71"/>
      <c r="JH3" s="71"/>
      <c r="JI3" s="71"/>
      <c r="JJ3" s="71"/>
      <c r="JK3" s="71"/>
      <c r="JL3" s="71"/>
      <c r="JM3" s="71"/>
      <c r="JN3" s="71"/>
      <c r="JO3" s="71"/>
      <c r="JP3" s="71"/>
      <c r="JQ3" s="71"/>
      <c r="JR3" s="71"/>
      <c r="JS3" s="71"/>
      <c r="JT3" s="71"/>
      <c r="JU3" s="71"/>
      <c r="JV3" s="71"/>
      <c r="JW3" s="71"/>
      <c r="JX3" s="71"/>
      <c r="JY3" s="71"/>
      <c r="JZ3" s="71"/>
      <c r="KA3" s="71"/>
      <c r="KB3" s="71"/>
      <c r="KC3" s="71"/>
      <c r="KD3" s="71"/>
      <c r="KE3" s="71"/>
      <c r="KF3" s="71"/>
      <c r="KG3" s="71"/>
      <c r="KH3" s="71"/>
      <c r="KI3" s="71"/>
      <c r="KJ3" s="71"/>
      <c r="KK3" s="71"/>
      <c r="KL3" s="71"/>
      <c r="KM3" s="71"/>
      <c r="KN3" s="71"/>
      <c r="KO3" s="71"/>
      <c r="KP3" s="71"/>
      <c r="KQ3" s="71"/>
      <c r="KR3" s="71"/>
      <c r="KS3" s="71"/>
      <c r="KT3" s="71"/>
      <c r="KU3" s="71"/>
      <c r="KV3" s="71"/>
      <c r="KW3" s="71"/>
      <c r="KX3" s="71"/>
      <c r="KY3" s="71"/>
      <c r="KZ3" s="71"/>
      <c r="LA3" s="71"/>
      <c r="LB3" s="71"/>
      <c r="LC3" s="71"/>
      <c r="LD3" s="71"/>
      <c r="LE3" s="71"/>
      <c r="LF3" s="71"/>
      <c r="LG3" s="71"/>
      <c r="LH3" s="71"/>
      <c r="LI3" s="71"/>
      <c r="LJ3" s="71"/>
      <c r="LK3" s="71"/>
      <c r="LL3" s="71"/>
      <c r="LM3" s="71"/>
      <c r="LN3" s="71"/>
      <c r="LO3" s="71"/>
      <c r="LP3" s="71"/>
      <c r="LQ3" s="71"/>
      <c r="LR3" s="71"/>
      <c r="LS3" s="71"/>
      <c r="LT3" s="71"/>
      <c r="LU3" s="71"/>
      <c r="LV3" s="71"/>
      <c r="LW3" s="71"/>
      <c r="LX3" s="71"/>
      <c r="LY3" s="71"/>
      <c r="LZ3" s="71"/>
      <c r="MA3" s="71"/>
      <c r="MB3" s="71"/>
      <c r="MC3" s="71"/>
      <c r="MD3" s="71"/>
      <c r="ME3" s="71"/>
      <c r="MF3" s="71"/>
      <c r="MG3" s="71"/>
      <c r="MH3" s="71"/>
      <c r="MI3" s="71"/>
      <c r="MJ3" s="71"/>
      <c r="MK3" s="71"/>
      <c r="ML3" s="71"/>
      <c r="MM3" s="71"/>
      <c r="MN3" s="71"/>
      <c r="MO3" s="71"/>
      <c r="MP3" s="71"/>
      <c r="MQ3" s="71"/>
      <c r="MR3" s="71"/>
      <c r="MS3" s="71"/>
      <c r="MT3" s="71"/>
      <c r="MU3" s="71"/>
      <c r="MV3" s="71"/>
      <c r="MW3" s="71"/>
      <c r="MX3" s="71"/>
      <c r="MY3" s="71"/>
      <c r="MZ3" s="71"/>
      <c r="NA3" s="71"/>
      <c r="NB3" s="71"/>
      <c r="NC3" s="71"/>
      <c r="ND3" s="71"/>
      <c r="NE3" s="71"/>
      <c r="NF3" s="71"/>
      <c r="NG3" s="71"/>
      <c r="NH3" s="71"/>
      <c r="NI3" s="71"/>
      <c r="NJ3" s="71"/>
      <c r="NK3" s="73">
        <v>4.8500000000000001E-2</v>
      </c>
      <c r="NL3" s="73">
        <v>4.3099999999999999E-2</v>
      </c>
      <c r="NM3" s="73">
        <v>3.9399999999999998E-2</v>
      </c>
      <c r="NN3" s="73">
        <v>3.7999999999999999E-2</v>
      </c>
      <c r="NO3" s="73">
        <f>$NN$3</f>
        <v>3.7999999999999999E-2</v>
      </c>
      <c r="NP3" s="73">
        <f t="shared" ref="NP3:OI3" si="8">$NN$3</f>
        <v>3.7999999999999999E-2</v>
      </c>
      <c r="NQ3" s="73">
        <f t="shared" si="8"/>
        <v>3.7999999999999999E-2</v>
      </c>
      <c r="NR3" s="73">
        <f t="shared" si="8"/>
        <v>3.7999999999999999E-2</v>
      </c>
      <c r="NS3" s="73">
        <f t="shared" si="8"/>
        <v>3.7999999999999999E-2</v>
      </c>
      <c r="NT3" s="73">
        <f t="shared" si="8"/>
        <v>3.7999999999999999E-2</v>
      </c>
      <c r="NU3" s="73">
        <f t="shared" si="8"/>
        <v>3.7999999999999999E-2</v>
      </c>
      <c r="NV3" s="73">
        <f t="shared" si="8"/>
        <v>3.7999999999999999E-2</v>
      </c>
      <c r="NW3" s="73">
        <f t="shared" si="8"/>
        <v>3.7999999999999999E-2</v>
      </c>
      <c r="NX3" s="73">
        <f t="shared" si="8"/>
        <v>3.7999999999999999E-2</v>
      </c>
      <c r="NY3" s="73">
        <f t="shared" si="8"/>
        <v>3.7999999999999999E-2</v>
      </c>
      <c r="NZ3" s="73">
        <f t="shared" si="8"/>
        <v>3.7999999999999999E-2</v>
      </c>
      <c r="OA3" s="73">
        <f t="shared" si="8"/>
        <v>3.7999999999999999E-2</v>
      </c>
      <c r="OB3" s="73">
        <f t="shared" si="8"/>
        <v>3.7999999999999999E-2</v>
      </c>
      <c r="OC3" s="73">
        <f t="shared" si="8"/>
        <v>3.7999999999999999E-2</v>
      </c>
      <c r="OD3" s="73">
        <f t="shared" si="8"/>
        <v>3.7999999999999999E-2</v>
      </c>
      <c r="OE3" s="73">
        <f t="shared" si="8"/>
        <v>3.7999999999999999E-2</v>
      </c>
      <c r="OF3" s="73">
        <f t="shared" si="8"/>
        <v>3.7999999999999999E-2</v>
      </c>
      <c r="OG3" s="73">
        <f t="shared" si="8"/>
        <v>3.7999999999999999E-2</v>
      </c>
      <c r="OH3" s="73">
        <f t="shared" si="8"/>
        <v>3.7999999999999999E-2</v>
      </c>
      <c r="OI3" s="73">
        <f t="shared" si="8"/>
        <v>3.7999999999999999E-2</v>
      </c>
    </row>
    <row r="4" spans="1:399" s="75" customFormat="1">
      <c r="A4" t="s">
        <v>150</v>
      </c>
      <c r="B4"/>
      <c r="C4"/>
      <c r="D4"/>
      <c r="E4"/>
      <c r="F4"/>
      <c r="G4"/>
      <c r="H4"/>
      <c r="I4" s="76">
        <f>SUM(I2,I3)/100</f>
        <v>6.8400000000000002E-2</v>
      </c>
      <c r="J4" s="76">
        <f t="shared" ref="J4:BU4" si="9">SUM(J2,J3)/100</f>
        <v>1.8600000000000002E-2</v>
      </c>
      <c r="K4" s="76">
        <f t="shared" si="9"/>
        <v>1.5300000000000001E-2</v>
      </c>
      <c r="L4" s="76">
        <f t="shared" si="9"/>
        <v>2.6200000000000001E-2</v>
      </c>
      <c r="M4" s="76">
        <f t="shared" si="9"/>
        <v>2.81E-2</v>
      </c>
      <c r="N4" s="76">
        <f t="shared" si="9"/>
        <v>1.7100000000000001E-2</v>
      </c>
      <c r="O4" s="76">
        <f t="shared" si="9"/>
        <v>1.7000000000000001E-2</v>
      </c>
      <c r="P4" s="76">
        <f t="shared" si="9"/>
        <v>1.0200000000000001E-2</v>
      </c>
      <c r="Q4" s="76">
        <f t="shared" si="9"/>
        <v>1.55E-2</v>
      </c>
      <c r="R4" s="76">
        <f t="shared" si="9"/>
        <v>2.4300000000000002E-2</v>
      </c>
      <c r="S4" s="76">
        <f t="shared" si="9"/>
        <v>2.6699999999999998E-2</v>
      </c>
      <c r="T4" s="76">
        <f t="shared" si="9"/>
        <v>2.2599999999999999E-2</v>
      </c>
      <c r="U4" s="76">
        <f t="shared" si="9"/>
        <v>2.3599999999999999E-2</v>
      </c>
      <c r="V4" s="76">
        <f t="shared" si="9"/>
        <v>9.8999999999999991E-3</v>
      </c>
      <c r="W4" s="76">
        <f t="shared" si="9"/>
        <v>9.8999999999999991E-3</v>
      </c>
      <c r="X4" s="76">
        <f t="shared" si="9"/>
        <v>1.41E-2</v>
      </c>
      <c r="Y4" s="76">
        <f t="shared" si="9"/>
        <v>1.47E-2</v>
      </c>
      <c r="Z4" s="76">
        <f t="shared" si="9"/>
        <v>1.5600000000000001E-2</v>
      </c>
      <c r="AA4" s="76">
        <f t="shared" si="9"/>
        <v>1.34E-2</v>
      </c>
      <c r="AB4" s="76">
        <f t="shared" si="9"/>
        <v>1.03E-2</v>
      </c>
      <c r="AC4" s="76">
        <f t="shared" si="9"/>
        <v>3.4999999999999996E-3</v>
      </c>
      <c r="AD4" s="76">
        <f t="shared" si="9"/>
        <v>1.26E-2</v>
      </c>
      <c r="AE4" s="76">
        <f t="shared" si="9"/>
        <v>1.2199999999999999E-2</v>
      </c>
      <c r="AF4" s="76">
        <f t="shared" si="9"/>
        <v>1.1899999999999999E-2</v>
      </c>
      <c r="AG4" s="76">
        <f t="shared" si="9"/>
        <v>1.11E-2</v>
      </c>
      <c r="AH4" s="76">
        <f t="shared" si="9"/>
        <v>4.4000000000000003E-3</v>
      </c>
      <c r="AI4" s="76">
        <f t="shared" si="9"/>
        <v>1.5E-3</v>
      </c>
      <c r="AJ4" s="76">
        <f t="shared" si="9"/>
        <v>3.0000000000000001E-3</v>
      </c>
      <c r="AK4" s="76">
        <f t="shared" si="9"/>
        <v>3.2000000000000002E-3</v>
      </c>
      <c r="AL4" s="76">
        <f t="shared" si="9"/>
        <v>4.6999999999999993E-3</v>
      </c>
      <c r="AM4" s="76">
        <f t="shared" si="9"/>
        <v>1.18E-2</v>
      </c>
      <c r="AN4" s="76">
        <f t="shared" si="9"/>
        <v>5.0000000000000001E-3</v>
      </c>
      <c r="AO4" s="76">
        <f t="shared" si="9"/>
        <v>5.1000000000000004E-3</v>
      </c>
      <c r="AP4" s="76">
        <f t="shared" si="9"/>
        <v>8.8000000000000005E-3</v>
      </c>
      <c r="AQ4" s="76">
        <f t="shared" si="9"/>
        <v>4.0999999999999995E-3</v>
      </c>
      <c r="AR4" s="76">
        <f t="shared" si="9"/>
        <v>5.4000000000000003E-3</v>
      </c>
      <c r="AS4" s="76">
        <f t="shared" si="9"/>
        <v>2.2000000000000001E-3</v>
      </c>
      <c r="AT4" s="76">
        <f t="shared" si="9"/>
        <v>-2.0000000000000001E-4</v>
      </c>
      <c r="AU4" s="76">
        <f t="shared" si="9"/>
        <v>5.9999999999999995E-4</v>
      </c>
      <c r="AV4" s="76">
        <f t="shared" si="9"/>
        <v>2.3E-3</v>
      </c>
      <c r="AW4" s="76">
        <f t="shared" si="9"/>
        <v>1.7000000000000001E-3</v>
      </c>
      <c r="AX4" s="76">
        <f t="shared" si="9"/>
        <v>4.3E-3</v>
      </c>
      <c r="AY4" s="76">
        <f t="shared" si="9"/>
        <v>7.0999999999999995E-3</v>
      </c>
      <c r="AZ4" s="76">
        <f t="shared" si="9"/>
        <v>4.5999999999999999E-3</v>
      </c>
      <c r="BA4" s="76">
        <f t="shared" si="9"/>
        <v>3.4000000000000002E-3</v>
      </c>
      <c r="BB4" s="76">
        <f t="shared" si="9"/>
        <v>2.3999999999999998E-3</v>
      </c>
      <c r="BC4" s="76">
        <f t="shared" si="9"/>
        <v>5.0000000000000001E-3</v>
      </c>
      <c r="BD4" s="76">
        <f t="shared" si="9"/>
        <v>2.0000000000000001E-4</v>
      </c>
      <c r="BE4" s="76">
        <f t="shared" si="9"/>
        <v>-1.1999999999999999E-3</v>
      </c>
      <c r="BF4" s="76">
        <f t="shared" si="9"/>
        <v>-5.1000000000000004E-3</v>
      </c>
      <c r="BG4" s="76">
        <f t="shared" si="9"/>
        <v>-2.2000000000000001E-3</v>
      </c>
      <c r="BH4" s="76">
        <f t="shared" si="9"/>
        <v>2.0000000000000001E-4</v>
      </c>
      <c r="BI4" s="76">
        <f t="shared" si="9"/>
        <v>-1.1999999999999999E-3</v>
      </c>
      <c r="BJ4" s="76">
        <f t="shared" si="9"/>
        <v>3.3E-3</v>
      </c>
      <c r="BK4" s="76">
        <f t="shared" si="9"/>
        <v>6.9999999999999993E-3</v>
      </c>
      <c r="BL4" s="76">
        <f t="shared" si="9"/>
        <v>1.0500000000000001E-2</v>
      </c>
      <c r="BM4" s="76">
        <f t="shared" si="9"/>
        <v>1.1000000000000001E-2</v>
      </c>
      <c r="BN4" s="76">
        <f t="shared" si="9"/>
        <v>5.6000000000000008E-3</v>
      </c>
      <c r="BO4" s="76">
        <f t="shared" si="9"/>
        <v>3.0000000000000001E-3</v>
      </c>
      <c r="BP4" s="76">
        <f t="shared" si="9"/>
        <v>1.9E-3</v>
      </c>
      <c r="BQ4" s="76">
        <f t="shared" si="9"/>
        <v>1.09E-2</v>
      </c>
      <c r="BR4" s="76">
        <f t="shared" si="9"/>
        <v>5.6000000000000008E-3</v>
      </c>
      <c r="BS4" s="76">
        <f t="shared" si="9"/>
        <v>3.0999999999999999E-3</v>
      </c>
      <c r="BT4" s="76">
        <f t="shared" si="9"/>
        <v>1.1899999999999999E-2</v>
      </c>
      <c r="BU4" s="76">
        <f t="shared" si="9"/>
        <v>9.4999999999999998E-3</v>
      </c>
      <c r="BV4" s="76">
        <f t="shared" ref="BV4:EG4" si="10">SUM(BV2,BV3)/100</f>
        <v>6.0000000000000001E-3</v>
      </c>
      <c r="BW4" s="76">
        <f t="shared" si="10"/>
        <v>6.1999999999999998E-3</v>
      </c>
      <c r="BX4" s="76">
        <f t="shared" si="10"/>
        <v>1.2999999999999999E-3</v>
      </c>
      <c r="BY4" s="76">
        <f t="shared" si="10"/>
        <v>2.2000000000000001E-3</v>
      </c>
      <c r="BZ4" s="76">
        <f t="shared" si="10"/>
        <v>4.1999999999999997E-3</v>
      </c>
      <c r="CA4" s="76">
        <f t="shared" si="10"/>
        <v>1E-4</v>
      </c>
      <c r="CB4" s="76">
        <f t="shared" si="10"/>
        <v>2.3E-3</v>
      </c>
      <c r="CC4" s="76">
        <f t="shared" si="10"/>
        <v>1.61E-2</v>
      </c>
      <c r="CD4" s="76">
        <f t="shared" si="10"/>
        <v>1.3100000000000001E-2</v>
      </c>
      <c r="CE4" s="76">
        <f t="shared" si="10"/>
        <v>2.3E-3</v>
      </c>
      <c r="CF4" s="76">
        <f t="shared" si="10"/>
        <v>1.4000000000000002E-3</v>
      </c>
      <c r="CG4" s="76">
        <f t="shared" si="10"/>
        <v>3.2000000000000002E-3</v>
      </c>
      <c r="CH4" s="76">
        <f t="shared" si="10"/>
        <v>5.8999999999999999E-3</v>
      </c>
      <c r="CI4" s="76">
        <f t="shared" si="10"/>
        <v>5.6999999999999993E-3</v>
      </c>
      <c r="CJ4" s="76">
        <f t="shared" si="10"/>
        <v>4.5999999999999999E-3</v>
      </c>
      <c r="CK4" s="76">
        <f t="shared" si="10"/>
        <v>3.8E-3</v>
      </c>
      <c r="CL4" s="76">
        <f t="shared" si="10"/>
        <v>5.7999999999999996E-3</v>
      </c>
      <c r="CM4" s="76">
        <f t="shared" si="10"/>
        <v>4.0999999999999995E-3</v>
      </c>
      <c r="CN4" s="76">
        <f t="shared" si="10"/>
        <v>5.1999999999999998E-3</v>
      </c>
      <c r="CO4" s="76">
        <f t="shared" si="10"/>
        <v>1.3300000000000001E-2</v>
      </c>
      <c r="CP4" s="76">
        <f t="shared" si="10"/>
        <v>6.9999999999999993E-3</v>
      </c>
      <c r="CQ4" s="76">
        <f t="shared" si="10"/>
        <v>2.8000000000000004E-3</v>
      </c>
      <c r="CR4" s="76">
        <f t="shared" si="10"/>
        <v>8.3000000000000001E-3</v>
      </c>
      <c r="CS4" s="76">
        <f t="shared" si="10"/>
        <v>7.0999999999999995E-3</v>
      </c>
      <c r="CT4" s="76">
        <f t="shared" si="10"/>
        <v>6.5000000000000006E-3</v>
      </c>
      <c r="CU4" s="76">
        <f t="shared" si="10"/>
        <v>5.1999999999999998E-3</v>
      </c>
      <c r="CV4" s="76">
        <f t="shared" si="10"/>
        <v>3.5999999999999999E-3</v>
      </c>
      <c r="CW4" s="76">
        <f t="shared" si="10"/>
        <v>6.0000000000000001E-3</v>
      </c>
      <c r="CX4" s="76">
        <f t="shared" si="10"/>
        <v>8.0000000000000002E-3</v>
      </c>
      <c r="CY4" s="76">
        <f t="shared" si="10"/>
        <v>2.0999999999999999E-3</v>
      </c>
      <c r="CZ4" s="76">
        <f t="shared" si="10"/>
        <v>4.1999999999999997E-3</v>
      </c>
      <c r="DA4" s="76">
        <f t="shared" si="10"/>
        <v>1.1899999999999999E-2</v>
      </c>
      <c r="DB4" s="76">
        <f t="shared" si="10"/>
        <v>6.5000000000000006E-3</v>
      </c>
      <c r="DC4" s="76">
        <f t="shared" si="10"/>
        <v>7.1999999999999998E-3</v>
      </c>
      <c r="DD4" s="76">
        <f t="shared" si="10"/>
        <v>1.3100000000000001E-2</v>
      </c>
      <c r="DE4" s="76">
        <f t="shared" si="10"/>
        <v>3.0200000000000001E-2</v>
      </c>
      <c r="DF4" s="76">
        <f t="shared" si="10"/>
        <v>2.1000000000000001E-2</v>
      </c>
      <c r="DG4" s="76">
        <f t="shared" si="10"/>
        <v>2.2499999999999999E-2</v>
      </c>
      <c r="DH4" s="76">
        <f t="shared" si="10"/>
        <v>1.5700000000000002E-2</v>
      </c>
      <c r="DI4" s="76">
        <f t="shared" si="10"/>
        <v>1.23E-2</v>
      </c>
      <c r="DJ4" s="76">
        <f t="shared" si="10"/>
        <v>9.7000000000000003E-3</v>
      </c>
      <c r="DK4" s="76">
        <f t="shared" si="10"/>
        <v>6.0999999999999995E-3</v>
      </c>
      <c r="DL4" s="76">
        <f t="shared" si="10"/>
        <v>-1.5E-3</v>
      </c>
      <c r="DM4" s="76">
        <f t="shared" si="10"/>
        <v>2E-3</v>
      </c>
      <c r="DN4" s="76">
        <f t="shared" si="10"/>
        <v>3.4000000000000002E-3</v>
      </c>
      <c r="DO4" s="76">
        <f t="shared" si="10"/>
        <v>7.8000000000000005E-3</v>
      </c>
      <c r="DP4" s="76">
        <f t="shared" si="10"/>
        <v>2.8999999999999998E-3</v>
      </c>
      <c r="DQ4" s="76">
        <f t="shared" si="10"/>
        <v>3.4000000000000002E-3</v>
      </c>
      <c r="DR4" s="76">
        <f t="shared" si="10"/>
        <v>5.1999999999999998E-3</v>
      </c>
      <c r="DS4" s="76">
        <f t="shared" si="10"/>
        <v>7.6E-3</v>
      </c>
      <c r="DT4" s="76">
        <f t="shared" si="10"/>
        <v>6.0999999999999995E-3</v>
      </c>
      <c r="DU4" s="76">
        <f t="shared" si="10"/>
        <v>4.6999999999999993E-3</v>
      </c>
      <c r="DV4" s="76">
        <f t="shared" si="10"/>
        <v>3.7000000000000002E-3</v>
      </c>
      <c r="DW4" s="76">
        <f t="shared" si="10"/>
        <v>5.1000000000000004E-3</v>
      </c>
      <c r="DX4" s="76">
        <f t="shared" si="10"/>
        <v>7.0999999999999995E-3</v>
      </c>
      <c r="DY4" s="76">
        <f t="shared" si="10"/>
        <v>9.1000000000000004E-3</v>
      </c>
      <c r="DZ4" s="76">
        <f t="shared" si="10"/>
        <v>6.8999999999999999E-3</v>
      </c>
      <c r="EA4" s="76">
        <f t="shared" si="10"/>
        <v>3.3E-3</v>
      </c>
      <c r="EB4" s="76">
        <f t="shared" si="10"/>
        <v>4.4000000000000003E-3</v>
      </c>
      <c r="EC4" s="76">
        <f t="shared" si="10"/>
        <v>6.8999999999999999E-3</v>
      </c>
      <c r="ED4" s="76">
        <f t="shared" si="10"/>
        <v>8.6E-3</v>
      </c>
      <c r="EE4" s="76">
        <f t="shared" si="10"/>
        <v>5.7999999999999996E-3</v>
      </c>
      <c r="EF4" s="76">
        <f t="shared" si="10"/>
        <v>5.8999999999999999E-3</v>
      </c>
      <c r="EG4" s="76">
        <f t="shared" si="10"/>
        <v>6.0999999999999995E-3</v>
      </c>
      <c r="EH4" s="76">
        <f t="shared" ref="EH4:GS4" si="11">SUM(EH2,EH3)/100</f>
        <v>8.6999999999999994E-3</v>
      </c>
      <c r="EI4" s="76">
        <f t="shared" si="11"/>
        <v>4.8999999999999998E-3</v>
      </c>
      <c r="EJ4" s="76">
        <f t="shared" si="11"/>
        <v>-2.0000000000000001E-4</v>
      </c>
      <c r="EK4" s="76">
        <f t="shared" si="11"/>
        <v>2.5000000000000001E-3</v>
      </c>
      <c r="EL4" s="76">
        <f t="shared" si="11"/>
        <v>1.7000000000000001E-3</v>
      </c>
      <c r="EM4" s="76">
        <f t="shared" si="11"/>
        <v>3.4999999999999996E-3</v>
      </c>
      <c r="EN4" s="76">
        <f t="shared" si="11"/>
        <v>7.4999999999999997E-3</v>
      </c>
      <c r="EO4" s="76">
        <f t="shared" si="11"/>
        <v>5.5000000000000005E-3</v>
      </c>
      <c r="EP4" s="76">
        <f t="shared" si="11"/>
        <v>3.5999999999999999E-3</v>
      </c>
      <c r="EQ4" s="76">
        <f t="shared" si="11"/>
        <v>5.8999999999999999E-3</v>
      </c>
      <c r="ER4" s="76">
        <f t="shared" si="11"/>
        <v>4.0999999999999995E-3</v>
      </c>
      <c r="ES4" s="76">
        <f t="shared" si="11"/>
        <v>4.3E-3</v>
      </c>
      <c r="ET4" s="76">
        <f t="shared" si="11"/>
        <v>2.0999999999999999E-3</v>
      </c>
      <c r="EU4" s="76">
        <f t="shared" si="11"/>
        <v>1E-3</v>
      </c>
      <c r="EV4" s="76">
        <f t="shared" si="11"/>
        <v>-2.0999999999999999E-3</v>
      </c>
      <c r="EW4" s="76">
        <f t="shared" si="11"/>
        <v>1.9E-3</v>
      </c>
      <c r="EX4" s="76">
        <f t="shared" si="11"/>
        <v>5.0000000000000001E-4</v>
      </c>
      <c r="EY4" s="76">
        <f t="shared" si="11"/>
        <v>2.0999999999999999E-3</v>
      </c>
      <c r="EZ4" s="76">
        <f t="shared" si="11"/>
        <v>3.3E-3</v>
      </c>
      <c r="FA4" s="76">
        <f t="shared" si="11"/>
        <v>3.0999999999999999E-3</v>
      </c>
      <c r="FB4" s="76">
        <f t="shared" si="11"/>
        <v>4.7999999999999996E-3</v>
      </c>
      <c r="FC4" s="76">
        <f t="shared" si="11"/>
        <v>4.4000000000000003E-3</v>
      </c>
      <c r="FD4" s="76">
        <f t="shared" si="11"/>
        <v>4.4000000000000003E-3</v>
      </c>
      <c r="FE4" s="76">
        <f t="shared" si="11"/>
        <v>3.7000000000000002E-3</v>
      </c>
      <c r="FF4" s="76">
        <f t="shared" si="11"/>
        <v>2.5000000000000001E-3</v>
      </c>
      <c r="FG4" s="76">
        <f t="shared" si="11"/>
        <v>2.8000000000000004E-3</v>
      </c>
      <c r="FH4" s="76">
        <f t="shared" si="11"/>
        <v>2.8000000000000004E-3</v>
      </c>
      <c r="FI4" s="76">
        <f t="shared" si="11"/>
        <v>2.3999999999999998E-3</v>
      </c>
      <c r="FJ4" s="76">
        <f t="shared" si="11"/>
        <v>4.6999999999999993E-3</v>
      </c>
      <c r="FK4" s="76">
        <f t="shared" si="11"/>
        <v>1.8E-3</v>
      </c>
      <c r="FL4" s="76">
        <f t="shared" si="11"/>
        <v>3.0000000000000001E-3</v>
      </c>
      <c r="FM4" s="76">
        <f t="shared" si="11"/>
        <v>3.8E-3</v>
      </c>
      <c r="FN4" s="76">
        <f t="shared" si="11"/>
        <v>7.4000000000000003E-3</v>
      </c>
      <c r="FO4" s="76">
        <f t="shared" si="11"/>
        <v>5.4000000000000003E-3</v>
      </c>
      <c r="FP4" s="76">
        <f t="shared" si="11"/>
        <v>4.8999999999999998E-3</v>
      </c>
      <c r="FQ4" s="76">
        <f t="shared" si="11"/>
        <v>4.7999999999999996E-3</v>
      </c>
      <c r="FR4" s="76">
        <f t="shared" si="11"/>
        <v>5.5000000000000005E-3</v>
      </c>
      <c r="FS4" s="76">
        <f t="shared" si="11"/>
        <v>7.9000000000000008E-3</v>
      </c>
      <c r="FT4" s="76">
        <f t="shared" si="11"/>
        <v>7.4000000000000003E-3</v>
      </c>
      <c r="FU4" s="76">
        <f t="shared" si="11"/>
        <v>5.3E-3</v>
      </c>
      <c r="FV4" s="76">
        <f t="shared" si="11"/>
        <v>2.8000000000000004E-3</v>
      </c>
      <c r="FW4" s="76">
        <f t="shared" si="11"/>
        <v>2.5999999999999999E-3</v>
      </c>
      <c r="FX4" s="76">
        <f t="shared" si="11"/>
        <v>4.5000000000000005E-3</v>
      </c>
      <c r="FY4" s="76">
        <f t="shared" si="11"/>
        <v>3.5999999999999999E-3</v>
      </c>
      <c r="FZ4" s="76">
        <f t="shared" si="11"/>
        <v>2.8000000000000004E-3</v>
      </c>
      <c r="GA4" s="76">
        <f t="shared" si="11"/>
        <v>4.7999999999999996E-3</v>
      </c>
      <c r="GB4" s="76">
        <f t="shared" si="11"/>
        <v>5.5000000000000005E-3</v>
      </c>
      <c r="GC4" s="76">
        <f t="shared" si="11"/>
        <v>2E-3</v>
      </c>
      <c r="GD4" s="76">
        <f t="shared" si="11"/>
        <v>4.7999999999999996E-3</v>
      </c>
      <c r="GE4" s="76">
        <f t="shared" si="11"/>
        <v>4.6999999999999993E-3</v>
      </c>
      <c r="GF4" s="76">
        <f t="shared" si="11"/>
        <v>3.5999999999999999E-3</v>
      </c>
      <c r="GG4" s="76">
        <f t="shared" si="11"/>
        <v>2.3999999999999998E-3</v>
      </c>
      <c r="GH4" s="76">
        <f t="shared" si="11"/>
        <v>1.5E-3</v>
      </c>
      <c r="GI4" s="76">
        <f t="shared" si="11"/>
        <v>2.3999999999999998E-3</v>
      </c>
      <c r="GJ4" s="76">
        <f t="shared" si="11"/>
        <v>2.8000000000000004E-3</v>
      </c>
      <c r="GK4" s="76">
        <f t="shared" si="11"/>
        <v>4.0999999999999995E-3</v>
      </c>
      <c r="GL4" s="76">
        <f t="shared" si="11"/>
        <v>3.7000000000000002E-3</v>
      </c>
      <c r="GM4" s="76">
        <f t="shared" si="11"/>
        <v>7.4999999999999997E-3</v>
      </c>
      <c r="GN4" s="76">
        <f t="shared" si="11"/>
        <v>7.8000000000000005E-3</v>
      </c>
      <c r="GO4" s="76">
        <f t="shared" si="11"/>
        <v>5.1999999999999998E-3</v>
      </c>
      <c r="GP4" s="76">
        <f t="shared" si="11"/>
        <v>5.6999999999999993E-3</v>
      </c>
      <c r="GQ4" s="76">
        <f t="shared" si="11"/>
        <v>4.3E-3</v>
      </c>
      <c r="GR4" s="76">
        <f t="shared" si="11"/>
        <v>0</v>
      </c>
      <c r="GS4" s="76">
        <f t="shared" si="11"/>
        <v>1E-4</v>
      </c>
      <c r="GT4" s="76">
        <f t="shared" ref="GT4:JE4" si="12">SUM(GT2,GT3)/100</f>
        <v>4.0000000000000002E-4</v>
      </c>
      <c r="GU4" s="76">
        <f t="shared" si="12"/>
        <v>4.5000000000000005E-3</v>
      </c>
      <c r="GV4" s="76">
        <f t="shared" si="12"/>
        <v>7.4999999999999997E-3</v>
      </c>
      <c r="GW4" s="76">
        <f t="shared" si="12"/>
        <v>8.3000000000000001E-3</v>
      </c>
      <c r="GX4" s="76">
        <f t="shared" si="12"/>
        <v>6.3E-3</v>
      </c>
      <c r="GY4" s="76">
        <f t="shared" si="12"/>
        <v>8.3000000000000001E-3</v>
      </c>
      <c r="GZ4" s="76">
        <f t="shared" si="12"/>
        <v>8.0000000000000002E-3</v>
      </c>
      <c r="HA4" s="76">
        <f t="shared" si="12"/>
        <v>7.9000000000000008E-3</v>
      </c>
      <c r="HB4" s="76">
        <f t="shared" si="12"/>
        <v>7.7000000000000002E-3</v>
      </c>
      <c r="HC4" s="76">
        <f t="shared" si="12"/>
        <v>4.6999999999999993E-3</v>
      </c>
      <c r="HD4" s="76">
        <f t="shared" si="12"/>
        <v>1.5E-3</v>
      </c>
      <c r="HE4" s="76">
        <f t="shared" si="12"/>
        <v>1.6000000000000001E-3</v>
      </c>
      <c r="HF4" s="76">
        <f t="shared" si="12"/>
        <v>3.7000000000000002E-3</v>
      </c>
      <c r="HG4" s="76">
        <f t="shared" si="12"/>
        <v>5.3E-3</v>
      </c>
      <c r="HH4" s="76">
        <f t="shared" si="12"/>
        <v>4.3E-3</v>
      </c>
      <c r="HI4" s="76">
        <f t="shared" si="12"/>
        <v>5.1999999999999998E-3</v>
      </c>
      <c r="HJ4" s="76">
        <f t="shared" si="12"/>
        <v>5.0000000000000001E-3</v>
      </c>
      <c r="HK4" s="76">
        <f t="shared" si="12"/>
        <v>5.6000000000000008E-3</v>
      </c>
      <c r="HL4" s="76">
        <f t="shared" si="12"/>
        <v>4.5000000000000005E-3</v>
      </c>
      <c r="HM4" s="76">
        <f t="shared" si="12"/>
        <v>2.0999999999999999E-3</v>
      </c>
      <c r="HN4" s="76">
        <f t="shared" si="12"/>
        <v>6.4000000000000003E-3</v>
      </c>
      <c r="HO4" s="76">
        <f t="shared" si="12"/>
        <v>3.5999999999999999E-3</v>
      </c>
      <c r="HP4" s="76">
        <f t="shared" si="12"/>
        <v>8.0000000000000004E-4</v>
      </c>
      <c r="HQ4" s="76">
        <f t="shared" si="12"/>
        <v>4.3E-3</v>
      </c>
      <c r="HR4" s="76">
        <f t="shared" si="12"/>
        <v>4.0999999999999995E-3</v>
      </c>
      <c r="HS4" s="76">
        <f t="shared" si="12"/>
        <v>5.6999999999999993E-3</v>
      </c>
      <c r="HT4" s="76">
        <f t="shared" si="12"/>
        <v>5.8999999999999999E-3</v>
      </c>
      <c r="HU4" s="76">
        <f t="shared" si="12"/>
        <v>6.0000000000000001E-3</v>
      </c>
      <c r="HV4" s="76">
        <f t="shared" si="12"/>
        <v>7.9000000000000008E-3</v>
      </c>
      <c r="HW4" s="76">
        <f t="shared" si="12"/>
        <v>8.6E-3</v>
      </c>
      <c r="HX4" s="76">
        <f t="shared" si="12"/>
        <v>6.0000000000000001E-3</v>
      </c>
      <c r="HY4" s="76">
        <f t="shared" si="12"/>
        <v>4.6999999999999993E-3</v>
      </c>
      <c r="HZ4" s="76">
        <f t="shared" si="12"/>
        <v>5.5000000000000005E-3</v>
      </c>
      <c r="IA4" s="76">
        <f t="shared" si="12"/>
        <v>3.7000000000000002E-3</v>
      </c>
      <c r="IB4" s="76">
        <f t="shared" si="12"/>
        <v>2.5999999999999999E-3</v>
      </c>
      <c r="IC4" s="76">
        <f t="shared" si="12"/>
        <v>2.9999999999999997E-4</v>
      </c>
      <c r="ID4" s="76">
        <f t="shared" si="12"/>
        <v>2.3999999999999998E-3</v>
      </c>
      <c r="IE4" s="76">
        <f t="shared" si="12"/>
        <v>3.4999999999999996E-3</v>
      </c>
      <c r="IF4" s="76">
        <f t="shared" si="12"/>
        <v>5.6999999999999993E-3</v>
      </c>
      <c r="IG4" s="76">
        <f t="shared" si="12"/>
        <v>5.4000000000000003E-3</v>
      </c>
      <c r="IH4" s="76">
        <f t="shared" si="12"/>
        <v>9.1999999999999998E-3</v>
      </c>
      <c r="II4" s="76">
        <f t="shared" si="12"/>
        <v>5.5000000000000005E-3</v>
      </c>
      <c r="IJ4" s="76">
        <f t="shared" si="12"/>
        <v>6.8999999999999999E-3</v>
      </c>
      <c r="IK4" s="76">
        <f t="shared" si="12"/>
        <v>9.1999999999999998E-3</v>
      </c>
      <c r="IL4" s="76">
        <f t="shared" si="12"/>
        <v>6.7000000000000002E-3</v>
      </c>
      <c r="IM4" s="76">
        <f t="shared" si="12"/>
        <v>4.5999999999999999E-3</v>
      </c>
      <c r="IN4" s="76">
        <f t="shared" si="12"/>
        <v>4.0000000000000001E-3</v>
      </c>
      <c r="IO4" s="76">
        <f t="shared" si="12"/>
        <v>1E-4</v>
      </c>
      <c r="IP4" s="76">
        <f t="shared" si="12"/>
        <v>2.5000000000000001E-3</v>
      </c>
      <c r="IQ4" s="76">
        <f t="shared" si="12"/>
        <v>5.6999999999999993E-3</v>
      </c>
      <c r="IR4" s="76">
        <f t="shared" si="12"/>
        <v>4.1999999999999997E-3</v>
      </c>
      <c r="IS4" s="76">
        <f t="shared" si="12"/>
        <v>5.1000000000000004E-3</v>
      </c>
      <c r="IT4" s="76">
        <f t="shared" si="12"/>
        <v>7.8000000000000005E-3</v>
      </c>
      <c r="IU4" s="76">
        <f t="shared" si="12"/>
        <v>1.24E-2</v>
      </c>
      <c r="IV4" s="76">
        <f t="shared" si="12"/>
        <v>1.2199999999999999E-2</v>
      </c>
      <c r="IW4" s="76">
        <f t="shared" si="12"/>
        <v>1.32E-2</v>
      </c>
      <c r="IX4" s="76">
        <f t="shared" si="12"/>
        <v>7.0999999999999995E-3</v>
      </c>
      <c r="IY4" s="76">
        <f t="shared" si="12"/>
        <v>7.4000000000000003E-3</v>
      </c>
      <c r="IZ4" s="76">
        <f t="shared" si="12"/>
        <v>7.9000000000000008E-3</v>
      </c>
      <c r="JA4" s="76">
        <f t="shared" si="12"/>
        <v>6.1999999999999998E-3</v>
      </c>
      <c r="JB4" s="76">
        <f t="shared" si="12"/>
        <v>2.2000000000000001E-3</v>
      </c>
      <c r="JC4" s="76">
        <f t="shared" si="12"/>
        <v>5.4000000000000003E-3</v>
      </c>
      <c r="JD4" s="76">
        <f t="shared" si="12"/>
        <v>8.199999999999999E-3</v>
      </c>
      <c r="JE4" s="76">
        <f t="shared" si="12"/>
        <v>1.01E-2</v>
      </c>
      <c r="JF4" s="76">
        <f t="shared" ref="JF4:LQ4" si="13">SUM(JF2,JF3)/100</f>
        <v>9.5999999999999992E-3</v>
      </c>
      <c r="JG4" s="76">
        <f t="shared" si="13"/>
        <v>1.2699999999999999E-2</v>
      </c>
      <c r="JH4" s="76">
        <f t="shared" si="13"/>
        <v>9.0000000000000011E-3</v>
      </c>
      <c r="JI4" s="76">
        <f t="shared" si="13"/>
        <v>4.3E-3</v>
      </c>
      <c r="JJ4" s="76">
        <f t="shared" si="13"/>
        <v>6.0999999999999995E-3</v>
      </c>
      <c r="JK4" s="76">
        <f t="shared" si="13"/>
        <v>7.8000000000000005E-3</v>
      </c>
      <c r="JL4" s="76">
        <f t="shared" si="13"/>
        <v>3.4999999999999996E-3</v>
      </c>
      <c r="JM4" s="76">
        <f t="shared" si="13"/>
        <v>5.1999999999999998E-3</v>
      </c>
      <c r="JN4" s="76">
        <f t="shared" si="13"/>
        <v>4.4000000000000003E-3</v>
      </c>
      <c r="JO4" s="76">
        <f t="shared" si="13"/>
        <v>8.0000000000000004E-4</v>
      </c>
      <c r="JP4" s="76">
        <f t="shared" si="13"/>
        <v>2.5999999999999999E-3</v>
      </c>
      <c r="JQ4" s="76">
        <f t="shared" si="13"/>
        <v>1.8E-3</v>
      </c>
      <c r="JR4" s="76">
        <f t="shared" si="13"/>
        <v>3.0000000000000001E-3</v>
      </c>
      <c r="JS4" s="76">
        <f t="shared" si="13"/>
        <v>3.8E-3</v>
      </c>
      <c r="JT4" s="76">
        <f t="shared" si="13"/>
        <v>3.3E-3</v>
      </c>
      <c r="JU4" s="76">
        <f t="shared" si="13"/>
        <v>2.5000000000000001E-3</v>
      </c>
      <c r="JV4" s="76">
        <f t="shared" si="13"/>
        <v>1.4000000000000002E-3</v>
      </c>
      <c r="JW4" s="76">
        <f t="shared" si="13"/>
        <v>3.0999999999999999E-3</v>
      </c>
      <c r="JX4" s="76">
        <f t="shared" si="13"/>
        <v>-2.3E-3</v>
      </c>
      <c r="JY4" s="76">
        <f t="shared" si="13"/>
        <v>2.3999999999999998E-3</v>
      </c>
      <c r="JZ4" s="76">
        <f t="shared" si="13"/>
        <v>1.9E-3</v>
      </c>
      <c r="KA4" s="76">
        <f t="shared" si="13"/>
        <v>1.6000000000000001E-3</v>
      </c>
      <c r="KB4" s="76">
        <f t="shared" si="13"/>
        <v>4.1999999999999997E-3</v>
      </c>
      <c r="KC4" s="76">
        <f t="shared" si="13"/>
        <v>2.8000000000000004E-3</v>
      </c>
      <c r="KD4" s="76">
        <f t="shared" si="13"/>
        <v>4.4000000000000003E-3</v>
      </c>
      <c r="KE4" s="76">
        <f t="shared" si="13"/>
        <v>2.8999999999999998E-3</v>
      </c>
      <c r="KF4" s="76">
        <f t="shared" si="13"/>
        <v>3.2000000000000002E-3</v>
      </c>
      <c r="KG4" s="76">
        <f t="shared" si="13"/>
        <v>8.9999999999999998E-4</v>
      </c>
      <c r="KH4" s="76">
        <f t="shared" si="13"/>
        <v>2.2000000000000001E-3</v>
      </c>
      <c r="KI4" s="76">
        <f t="shared" si="13"/>
        <v>4.0000000000000001E-3</v>
      </c>
      <c r="KJ4" s="76">
        <f t="shared" si="13"/>
        <v>1.26E-2</v>
      </c>
      <c r="KK4" s="76">
        <f t="shared" si="13"/>
        <v>3.3E-3</v>
      </c>
      <c r="KL4" s="76">
        <f t="shared" si="13"/>
        <v>-8.9999999999999998E-4</v>
      </c>
      <c r="KM4" s="76">
        <f t="shared" si="13"/>
        <v>4.7999999999999996E-3</v>
      </c>
      <c r="KN4" s="76">
        <f t="shared" si="13"/>
        <v>4.5000000000000005E-3</v>
      </c>
      <c r="KO4" s="76">
        <f t="shared" si="13"/>
        <v>-2.0999999999999999E-3</v>
      </c>
      <c r="KP4" s="76">
        <f t="shared" si="13"/>
        <v>1.5E-3</v>
      </c>
      <c r="KQ4" s="76">
        <f t="shared" si="13"/>
        <v>3.2000000000000002E-3</v>
      </c>
      <c r="KR4" s="76">
        <f t="shared" si="13"/>
        <v>4.3E-3</v>
      </c>
      <c r="KS4" s="76">
        <f t="shared" si="13"/>
        <v>7.4999999999999997E-3</v>
      </c>
      <c r="KT4" s="76">
        <f t="shared" si="13"/>
        <v>5.6999999999999993E-3</v>
      </c>
      <c r="KU4" s="76">
        <f t="shared" si="13"/>
        <v>1.2999999999999999E-3</v>
      </c>
      <c r="KV4" s="76">
        <f t="shared" si="13"/>
        <v>1E-4</v>
      </c>
      <c r="KW4" s="76">
        <f t="shared" si="13"/>
        <v>1.9E-3</v>
      </c>
      <c r="KX4" s="76">
        <f t="shared" si="13"/>
        <v>1.1000000000000001E-3</v>
      </c>
      <c r="KY4" s="76">
        <f t="shared" si="13"/>
        <v>-4.0000000000000002E-4</v>
      </c>
      <c r="KZ4" s="76">
        <f t="shared" si="13"/>
        <v>1E-3</v>
      </c>
      <c r="LA4" s="76">
        <f t="shared" si="13"/>
        <v>5.1000000000000004E-3</v>
      </c>
      <c r="LB4" s="76">
        <f t="shared" si="13"/>
        <v>1.15E-2</v>
      </c>
      <c r="LC4" s="76">
        <f t="shared" si="13"/>
        <v>2.0999999999999999E-3</v>
      </c>
      <c r="LD4" s="76">
        <f t="shared" si="13"/>
        <v>2.5000000000000001E-3</v>
      </c>
      <c r="LE4" s="76">
        <f t="shared" si="13"/>
        <v>7.000000000000001E-4</v>
      </c>
      <c r="LF4" s="76">
        <f t="shared" si="13"/>
        <v>-3.0999999999999999E-3</v>
      </c>
      <c r="LG4" s="76">
        <f t="shared" si="13"/>
        <v>-3.8E-3</v>
      </c>
      <c r="LH4" s="76">
        <f t="shared" si="13"/>
        <v>2.5999999999999999E-3</v>
      </c>
      <c r="LI4" s="76">
        <f t="shared" si="13"/>
        <v>3.5999999999999999E-3</v>
      </c>
      <c r="LJ4" s="76">
        <f t="shared" si="13"/>
        <v>2.3999999999999998E-3</v>
      </c>
      <c r="LK4" s="76">
        <f t="shared" si="13"/>
        <v>6.4000000000000003E-3</v>
      </c>
      <c r="LL4" s="76">
        <f t="shared" si="13"/>
        <v>8.6E-3</v>
      </c>
      <c r="LM4" s="76">
        <f t="shared" si="13"/>
        <v>8.8999999999999999E-3</v>
      </c>
      <c r="LN4" s="76">
        <f t="shared" si="13"/>
        <v>1.3500000000000002E-2</v>
      </c>
      <c r="LO4" s="76">
        <f t="shared" si="13"/>
        <v>2.5000000000000001E-3</v>
      </c>
      <c r="LP4" s="76">
        <f t="shared" si="13"/>
        <v>8.6E-3</v>
      </c>
      <c r="LQ4" s="76">
        <f t="shared" si="13"/>
        <v>9.300000000000001E-3</v>
      </c>
      <c r="LR4" s="76">
        <f t="shared" ref="LR4:NJ4" si="14">SUM(LR2,LR3)/100</f>
        <v>3.0999999999999999E-3</v>
      </c>
      <c r="LS4" s="76">
        <f t="shared" si="14"/>
        <v>8.3000000000000001E-3</v>
      </c>
      <c r="LT4" s="76">
        <f t="shared" si="14"/>
        <v>5.3E-3</v>
      </c>
      <c r="LU4" s="76">
        <f t="shared" si="14"/>
        <v>9.5999999999999992E-3</v>
      </c>
      <c r="LV4" s="76">
        <f t="shared" si="14"/>
        <v>8.6999999999999994E-3</v>
      </c>
      <c r="LW4" s="76">
        <f t="shared" si="14"/>
        <v>1.1599999999999999E-2</v>
      </c>
      <c r="LX4" s="76">
        <f t="shared" si="14"/>
        <v>1.2500000000000001E-2</v>
      </c>
      <c r="LY4" s="76">
        <f t="shared" si="14"/>
        <v>9.4999999999999998E-3</v>
      </c>
      <c r="LZ4" s="76">
        <f t="shared" si="14"/>
        <v>7.3000000000000001E-3</v>
      </c>
      <c r="MA4" s="76">
        <f t="shared" si="14"/>
        <v>5.4000000000000003E-3</v>
      </c>
      <c r="MB4" s="76">
        <f t="shared" si="14"/>
        <v>1.01E-2</v>
      </c>
      <c r="MC4" s="76">
        <f t="shared" si="14"/>
        <v>1.6200000000000003E-2</v>
      </c>
      <c r="MD4" s="76">
        <f t="shared" si="14"/>
        <v>1.06E-2</v>
      </c>
      <c r="ME4" s="76">
        <f t="shared" si="14"/>
        <v>4.6999999999999993E-3</v>
      </c>
      <c r="MF4" s="76">
        <f t="shared" si="14"/>
        <v>6.7000000000000002E-3</v>
      </c>
      <c r="MG4" s="76">
        <f t="shared" si="14"/>
        <v>-6.8000000000000005E-3</v>
      </c>
      <c r="MH4" s="76">
        <f t="shared" si="14"/>
        <v>-3.5999999999999999E-3</v>
      </c>
      <c r="MI4" s="76">
        <f t="shared" si="14"/>
        <v>-2.8999999999999998E-3</v>
      </c>
      <c r="MJ4" s="76">
        <f t="shared" si="14"/>
        <v>5.8999999999999999E-3</v>
      </c>
      <c r="MK4" s="76">
        <f t="shared" si="14"/>
        <v>4.0999999999999995E-3</v>
      </c>
      <c r="ML4" s="76">
        <f t="shared" si="14"/>
        <v>6.1999999999999998E-3</v>
      </c>
      <c r="MM4" s="76">
        <f t="shared" si="14"/>
        <v>5.3E-3</v>
      </c>
      <c r="MN4" s="76">
        <f t="shared" si="14"/>
        <v>8.3999999999999995E-3</v>
      </c>
      <c r="MO4" s="76">
        <f t="shared" si="14"/>
        <v>7.0999999999999995E-3</v>
      </c>
      <c r="MP4" s="76">
        <f t="shared" si="14"/>
        <v>6.0999999999999995E-3</v>
      </c>
      <c r="MQ4" s="76">
        <f t="shared" si="14"/>
        <v>2.3E-3</v>
      </c>
      <c r="MR4" s="76">
        <f t="shared" si="14"/>
        <v>-8.0000000000000004E-4</v>
      </c>
      <c r="MS4" s="76">
        <f t="shared" si="14"/>
        <v>1.1999999999999999E-3</v>
      </c>
      <c r="MT4" s="76">
        <f t="shared" si="14"/>
        <v>2.3E-3</v>
      </c>
      <c r="MU4" s="76">
        <f t="shared" si="14"/>
        <v>2.5999999999999999E-3</v>
      </c>
      <c r="MV4" s="76">
        <f t="shared" si="14"/>
        <v>2.3999999999999998E-3</v>
      </c>
      <c r="MW4" s="76">
        <f t="shared" si="14"/>
        <v>2.8000000000000004E-3</v>
      </c>
      <c r="MX4" s="76">
        <f t="shared" si="14"/>
        <v>5.6000000000000008E-3</v>
      </c>
      <c r="MY4" s="76">
        <f t="shared" si="14"/>
        <v>4.1999999999999997E-3</v>
      </c>
      <c r="MZ4" s="76">
        <f t="shared" si="14"/>
        <v>8.3000000000000001E-3</v>
      </c>
      <c r="NA4" s="76">
        <f t="shared" si="14"/>
        <v>1.6000000000000001E-3</v>
      </c>
      <c r="NB4" s="76">
        <f t="shared" si="14"/>
        <v>3.8E-3</v>
      </c>
      <c r="NC4" s="76">
        <f t="shared" si="14"/>
        <v>4.5999999999999999E-3</v>
      </c>
      <c r="ND4" s="76">
        <f t="shared" si="14"/>
        <v>2.0999999999999999E-3</v>
      </c>
      <c r="NE4" s="76">
        <f t="shared" si="14"/>
        <v>3.8E-3</v>
      </c>
      <c r="NF4" s="76">
        <f t="shared" si="14"/>
        <v>-2.0000000000000001E-4</v>
      </c>
      <c r="NG4" s="76">
        <f t="shared" si="14"/>
        <v>4.4000000000000003E-3</v>
      </c>
      <c r="NH4" s="76">
        <f t="shared" si="14"/>
        <v>5.6000000000000008E-3</v>
      </c>
      <c r="NI4" s="76">
        <f t="shared" si="14"/>
        <v>3.9000000000000003E-3</v>
      </c>
      <c r="NJ4" s="76">
        <f t="shared" si="14"/>
        <v>5.1999999999999998E-3</v>
      </c>
      <c r="NK4" s="77">
        <f>NK3</f>
        <v>4.8500000000000001E-2</v>
      </c>
      <c r="NL4" s="77">
        <f t="shared" ref="NL4:OI4" si="15">NL3</f>
        <v>4.3099999999999999E-2</v>
      </c>
      <c r="NM4" s="77">
        <f t="shared" si="15"/>
        <v>3.9399999999999998E-2</v>
      </c>
      <c r="NN4" s="77">
        <f t="shared" si="15"/>
        <v>3.7999999999999999E-2</v>
      </c>
      <c r="NO4" s="77">
        <f t="shared" si="15"/>
        <v>3.7999999999999999E-2</v>
      </c>
      <c r="NP4" s="77">
        <f t="shared" si="15"/>
        <v>3.7999999999999999E-2</v>
      </c>
      <c r="NQ4" s="77">
        <f t="shared" si="15"/>
        <v>3.7999999999999999E-2</v>
      </c>
      <c r="NR4" s="77">
        <f t="shared" si="15"/>
        <v>3.7999999999999999E-2</v>
      </c>
      <c r="NS4" s="77">
        <f t="shared" si="15"/>
        <v>3.7999999999999999E-2</v>
      </c>
      <c r="NT4" s="77">
        <f t="shared" si="15"/>
        <v>3.7999999999999999E-2</v>
      </c>
      <c r="NU4" s="77">
        <f t="shared" si="15"/>
        <v>3.7999999999999999E-2</v>
      </c>
      <c r="NV4" s="77">
        <f t="shared" si="15"/>
        <v>3.7999999999999999E-2</v>
      </c>
      <c r="NW4" s="77">
        <f t="shared" si="15"/>
        <v>3.7999999999999999E-2</v>
      </c>
      <c r="NX4" s="77">
        <f t="shared" si="15"/>
        <v>3.7999999999999999E-2</v>
      </c>
      <c r="NY4" s="77">
        <f t="shared" si="15"/>
        <v>3.7999999999999999E-2</v>
      </c>
      <c r="NZ4" s="77">
        <f t="shared" si="15"/>
        <v>3.7999999999999999E-2</v>
      </c>
      <c r="OA4" s="77">
        <f t="shared" si="15"/>
        <v>3.7999999999999999E-2</v>
      </c>
      <c r="OB4" s="77">
        <f t="shared" si="15"/>
        <v>3.7999999999999999E-2</v>
      </c>
      <c r="OC4" s="77">
        <f t="shared" si="15"/>
        <v>3.7999999999999999E-2</v>
      </c>
      <c r="OD4" s="77">
        <f t="shared" si="15"/>
        <v>3.7999999999999999E-2</v>
      </c>
      <c r="OE4" s="77">
        <f t="shared" si="15"/>
        <v>3.7999999999999999E-2</v>
      </c>
      <c r="OF4" s="77">
        <f t="shared" si="15"/>
        <v>3.7999999999999999E-2</v>
      </c>
      <c r="OG4" s="77">
        <f t="shared" si="15"/>
        <v>3.7999999999999999E-2</v>
      </c>
      <c r="OH4" s="77">
        <f t="shared" si="15"/>
        <v>3.7999999999999999E-2</v>
      </c>
      <c r="OI4" s="77">
        <f t="shared" si="15"/>
        <v>3.7999999999999999E-2</v>
      </c>
    </row>
    <row r="5" spans="1:399" s="79" customFormat="1">
      <c r="A5" t="s">
        <v>151</v>
      </c>
      <c r="B5"/>
      <c r="C5"/>
      <c r="D5"/>
      <c r="E5"/>
      <c r="F5"/>
      <c r="G5"/>
      <c r="H5"/>
      <c r="I5" s="78">
        <f t="shared" ref="I5:BT5" si="16">IF(I$1=$A8,1,IF(I$1&lt;$A8,J5/(1+J4),H5*(1+I4)))</f>
        <v>0.1289926997453418</v>
      </c>
      <c r="J5" s="78">
        <f t="shared" si="16"/>
        <v>0.13139196396060515</v>
      </c>
      <c r="K5" s="78">
        <f t="shared" si="16"/>
        <v>0.13340226100920241</v>
      </c>
      <c r="L5" s="78">
        <f t="shared" si="16"/>
        <v>0.13689740024764352</v>
      </c>
      <c r="M5" s="78">
        <f t="shared" si="16"/>
        <v>0.14074421719460231</v>
      </c>
      <c r="N5" s="78">
        <f t="shared" si="16"/>
        <v>0.14315094330862999</v>
      </c>
      <c r="O5" s="78">
        <f t="shared" si="16"/>
        <v>0.14558450934487668</v>
      </c>
      <c r="P5" s="78">
        <f t="shared" si="16"/>
        <v>0.14706947134019444</v>
      </c>
      <c r="Q5" s="78">
        <f t="shared" si="16"/>
        <v>0.14934904814596747</v>
      </c>
      <c r="R5" s="78">
        <f t="shared" si="16"/>
        <v>0.15297823001591448</v>
      </c>
      <c r="S5" s="78">
        <f t="shared" si="16"/>
        <v>0.15706274875733939</v>
      </c>
      <c r="T5" s="78">
        <f t="shared" si="16"/>
        <v>0.16061236687925526</v>
      </c>
      <c r="U5" s="78">
        <f t="shared" si="16"/>
        <v>0.1644028187376057</v>
      </c>
      <c r="V5" s="78">
        <f t="shared" si="16"/>
        <v>0.166030406643108</v>
      </c>
      <c r="W5" s="78">
        <f t="shared" si="16"/>
        <v>0.16767410766887478</v>
      </c>
      <c r="X5" s="78">
        <f t="shared" si="16"/>
        <v>0.17003831258700591</v>
      </c>
      <c r="Y5" s="78">
        <f t="shared" si="16"/>
        <v>0.17253787578203489</v>
      </c>
      <c r="Z5" s="78">
        <f t="shared" si="16"/>
        <v>0.17522946664423464</v>
      </c>
      <c r="AA5" s="78">
        <f t="shared" si="16"/>
        <v>0.1775775414972674</v>
      </c>
      <c r="AB5" s="78">
        <f t="shared" si="16"/>
        <v>0.17940659017468924</v>
      </c>
      <c r="AC5" s="78">
        <f t="shared" si="16"/>
        <v>0.18003451324030068</v>
      </c>
      <c r="AD5" s="78">
        <f t="shared" si="16"/>
        <v>0.18230294810712847</v>
      </c>
      <c r="AE5" s="78">
        <f t="shared" si="16"/>
        <v>0.18452704407403542</v>
      </c>
      <c r="AF5" s="78">
        <f t="shared" si="16"/>
        <v>0.18672291589851644</v>
      </c>
      <c r="AG5" s="78">
        <f t="shared" si="16"/>
        <v>0.18879554026498999</v>
      </c>
      <c r="AH5" s="78">
        <f t="shared" si="16"/>
        <v>0.18962624064215594</v>
      </c>
      <c r="AI5" s="78">
        <f t="shared" si="16"/>
        <v>0.1899106800031192</v>
      </c>
      <c r="AJ5" s="78">
        <f t="shared" si="16"/>
        <v>0.19048041204312854</v>
      </c>
      <c r="AK5" s="78">
        <f t="shared" si="16"/>
        <v>0.19108994936166657</v>
      </c>
      <c r="AL5" s="78">
        <f t="shared" si="16"/>
        <v>0.19198807212366639</v>
      </c>
      <c r="AM5" s="78">
        <f t="shared" si="16"/>
        <v>0.19425353137472567</v>
      </c>
      <c r="AN5" s="78">
        <f t="shared" si="16"/>
        <v>0.19522479903159928</v>
      </c>
      <c r="AO5" s="78">
        <f t="shared" si="16"/>
        <v>0.19622044550666046</v>
      </c>
      <c r="AP5" s="78">
        <f t="shared" si="16"/>
        <v>0.19794718542711906</v>
      </c>
      <c r="AQ5" s="78">
        <f t="shared" si="16"/>
        <v>0.19875876888737024</v>
      </c>
      <c r="AR5" s="78">
        <f t="shared" si="16"/>
        <v>0.19983206623936206</v>
      </c>
      <c r="AS5" s="78">
        <f t="shared" si="16"/>
        <v>0.20027169678508866</v>
      </c>
      <c r="AT5" s="78">
        <f t="shared" si="16"/>
        <v>0.20023164244573163</v>
      </c>
      <c r="AU5" s="78">
        <f t="shared" si="16"/>
        <v>0.20035178143119906</v>
      </c>
      <c r="AV5" s="78">
        <f t="shared" si="16"/>
        <v>0.20081259052849082</v>
      </c>
      <c r="AW5" s="78">
        <f t="shared" si="16"/>
        <v>0.20115397193238926</v>
      </c>
      <c r="AX5" s="78">
        <f t="shared" si="16"/>
        <v>0.20201893401169854</v>
      </c>
      <c r="AY5" s="78">
        <f t="shared" si="16"/>
        <v>0.20345326844318162</v>
      </c>
      <c r="AZ5" s="78">
        <f t="shared" si="16"/>
        <v>0.20438915347802025</v>
      </c>
      <c r="BA5" s="78">
        <f t="shared" si="16"/>
        <v>0.20508407659984554</v>
      </c>
      <c r="BB5" s="78">
        <f t="shared" si="16"/>
        <v>0.20557627838368517</v>
      </c>
      <c r="BC5" s="78">
        <f t="shared" si="16"/>
        <v>0.20660415977560356</v>
      </c>
      <c r="BD5" s="78">
        <f t="shared" si="16"/>
        <v>0.20664548060755869</v>
      </c>
      <c r="BE5" s="78">
        <f t="shared" si="16"/>
        <v>0.20639750603082962</v>
      </c>
      <c r="BF5" s="78">
        <f t="shared" si="16"/>
        <v>0.2053448787500724</v>
      </c>
      <c r="BG5" s="78">
        <f t="shared" si="16"/>
        <v>0.20489312001682225</v>
      </c>
      <c r="BH5" s="78">
        <f t="shared" si="16"/>
        <v>0.2049340986408256</v>
      </c>
      <c r="BI5" s="78">
        <f t="shared" si="16"/>
        <v>0.20468817772245662</v>
      </c>
      <c r="BJ5" s="78">
        <f t="shared" si="16"/>
        <v>0.20536364870894075</v>
      </c>
      <c r="BK5" s="78">
        <f t="shared" si="16"/>
        <v>0.20680119424990331</v>
      </c>
      <c r="BL5" s="78">
        <f t="shared" si="16"/>
        <v>0.20897260678952728</v>
      </c>
      <c r="BM5" s="78">
        <f t="shared" si="16"/>
        <v>0.21127130546421205</v>
      </c>
      <c r="BN5" s="78">
        <f t="shared" si="16"/>
        <v>0.21245442477481166</v>
      </c>
      <c r="BO5" s="78">
        <f t="shared" si="16"/>
        <v>0.21309178804913606</v>
      </c>
      <c r="BP5" s="78">
        <f t="shared" si="16"/>
        <v>0.21349666244642942</v>
      </c>
      <c r="BQ5" s="78">
        <f t="shared" si="16"/>
        <v>0.21582377606709549</v>
      </c>
      <c r="BR5" s="78">
        <f t="shared" si="16"/>
        <v>0.21703238921307125</v>
      </c>
      <c r="BS5" s="78">
        <f t="shared" si="16"/>
        <v>0.21770518961963178</v>
      </c>
      <c r="BT5" s="78">
        <f t="shared" si="16"/>
        <v>0.2202958813761054</v>
      </c>
      <c r="BU5" s="78">
        <f t="shared" ref="BU5:EF5" si="17">IF(BU$1=$A8,1,IF(BU$1&lt;$A8,BV5/(1+BV4),BT5*(1+BU4)))</f>
        <v>0.2223886922491784</v>
      </c>
      <c r="BV5" s="78">
        <f t="shared" si="17"/>
        <v>0.22372302440267347</v>
      </c>
      <c r="BW5" s="78">
        <f t="shared" si="17"/>
        <v>0.22511010715397003</v>
      </c>
      <c r="BX5" s="78">
        <f t="shared" si="17"/>
        <v>0.22540275029327023</v>
      </c>
      <c r="BY5" s="78">
        <f t="shared" si="17"/>
        <v>0.22589863634391541</v>
      </c>
      <c r="BZ5" s="78">
        <f t="shared" si="17"/>
        <v>0.22684741061655986</v>
      </c>
      <c r="CA5" s="78">
        <f t="shared" si="17"/>
        <v>0.22687009535762151</v>
      </c>
      <c r="CB5" s="78">
        <f t="shared" si="17"/>
        <v>0.22739189657694403</v>
      </c>
      <c r="CC5" s="78">
        <f t="shared" si="17"/>
        <v>0.23105290611183282</v>
      </c>
      <c r="CD5" s="78">
        <f t="shared" si="17"/>
        <v>0.23407969918189786</v>
      </c>
      <c r="CE5" s="78">
        <f t="shared" si="17"/>
        <v>0.23461808249001623</v>
      </c>
      <c r="CF5" s="78">
        <f t="shared" si="17"/>
        <v>0.23494654780550225</v>
      </c>
      <c r="CG5" s="78">
        <f t="shared" si="17"/>
        <v>0.23569837675847988</v>
      </c>
      <c r="CH5" s="78">
        <f t="shared" si="17"/>
        <v>0.2370889971813549</v>
      </c>
      <c r="CI5" s="78">
        <f t="shared" si="17"/>
        <v>0.23844040446528864</v>
      </c>
      <c r="CJ5" s="78">
        <f t="shared" si="17"/>
        <v>0.23953723032582894</v>
      </c>
      <c r="CK5" s="78">
        <f t="shared" si="17"/>
        <v>0.2404474718010671</v>
      </c>
      <c r="CL5" s="78">
        <f t="shared" si="17"/>
        <v>0.2418420671375133</v>
      </c>
      <c r="CM5" s="78">
        <f t="shared" si="17"/>
        <v>0.24283361961277711</v>
      </c>
      <c r="CN5" s="78">
        <f t="shared" si="17"/>
        <v>0.24409635443476357</v>
      </c>
      <c r="CO5" s="78">
        <f t="shared" si="17"/>
        <v>0.24734283594874595</v>
      </c>
      <c r="CP5" s="78">
        <f t="shared" si="17"/>
        <v>0.24907423580038715</v>
      </c>
      <c r="CQ5" s="78">
        <f t="shared" si="17"/>
        <v>0.24977164366062821</v>
      </c>
      <c r="CR5" s="78">
        <f t="shared" si="17"/>
        <v>0.2518447483030114</v>
      </c>
      <c r="CS5" s="78">
        <f t="shared" si="17"/>
        <v>0.25363284601596281</v>
      </c>
      <c r="CT5" s="78">
        <f t="shared" si="17"/>
        <v>0.25528145951506653</v>
      </c>
      <c r="CU5" s="78">
        <f t="shared" si="17"/>
        <v>0.25660892310454492</v>
      </c>
      <c r="CV5" s="78">
        <f t="shared" si="17"/>
        <v>0.25753271522772131</v>
      </c>
      <c r="CW5" s="78">
        <f t="shared" si="17"/>
        <v>0.25907791151908766</v>
      </c>
      <c r="CX5" s="78">
        <f t="shared" si="17"/>
        <v>0.26115053481124034</v>
      </c>
      <c r="CY5" s="78">
        <f t="shared" si="17"/>
        <v>0.26169895093434392</v>
      </c>
      <c r="CZ5" s="78">
        <f t="shared" si="17"/>
        <v>0.26279808652826814</v>
      </c>
      <c r="DA5" s="78">
        <f t="shared" si="17"/>
        <v>0.26592538375795455</v>
      </c>
      <c r="DB5" s="78">
        <f t="shared" si="17"/>
        <v>0.26765389875238121</v>
      </c>
      <c r="DC5" s="78">
        <f t="shared" si="17"/>
        <v>0.26958100682339836</v>
      </c>
      <c r="DD5" s="78">
        <f t="shared" si="17"/>
        <v>0.27311251801278491</v>
      </c>
      <c r="DE5" s="78">
        <f t="shared" si="17"/>
        <v>0.28136051605677104</v>
      </c>
      <c r="DF5" s="78">
        <f t="shared" si="17"/>
        <v>0.28726908689396319</v>
      </c>
      <c r="DG5" s="78">
        <f t="shared" si="17"/>
        <v>0.29373264134907734</v>
      </c>
      <c r="DH5" s="78">
        <f t="shared" si="17"/>
        <v>0.29834424381825786</v>
      </c>
      <c r="DI5" s="78">
        <f t="shared" si="17"/>
        <v>0.3020138780172224</v>
      </c>
      <c r="DJ5" s="78">
        <f t="shared" si="17"/>
        <v>0.3049434126339895</v>
      </c>
      <c r="DK5" s="78">
        <f t="shared" si="17"/>
        <v>0.30680356745105686</v>
      </c>
      <c r="DL5" s="78">
        <f t="shared" si="17"/>
        <v>0.30634336209988028</v>
      </c>
      <c r="DM5" s="78">
        <f t="shared" si="17"/>
        <v>0.30695604882408006</v>
      </c>
      <c r="DN5" s="78">
        <f t="shared" si="17"/>
        <v>0.30799969939008198</v>
      </c>
      <c r="DO5" s="78">
        <f t="shared" si="17"/>
        <v>0.31040209704532462</v>
      </c>
      <c r="DP5" s="78">
        <f t="shared" si="17"/>
        <v>0.31130226312675602</v>
      </c>
      <c r="DQ5" s="78">
        <f t="shared" si="17"/>
        <v>0.31236069082138701</v>
      </c>
      <c r="DR5" s="78">
        <f t="shared" si="17"/>
        <v>0.31398496641365825</v>
      </c>
      <c r="DS5" s="78">
        <f t="shared" si="17"/>
        <v>0.31637125215840206</v>
      </c>
      <c r="DT5" s="78">
        <f t="shared" si="17"/>
        <v>0.31830111679656831</v>
      </c>
      <c r="DU5" s="78">
        <f t="shared" si="17"/>
        <v>0.31979713204551213</v>
      </c>
      <c r="DV5" s="78">
        <f t="shared" si="17"/>
        <v>0.32098038143408053</v>
      </c>
      <c r="DW5" s="78">
        <f t="shared" si="17"/>
        <v>0.32261738137939439</v>
      </c>
      <c r="DX5" s="78">
        <f t="shared" si="17"/>
        <v>0.32490796478718814</v>
      </c>
      <c r="DY5" s="78">
        <f t="shared" si="17"/>
        <v>0.32786462726675158</v>
      </c>
      <c r="DZ5" s="78">
        <f t="shared" si="17"/>
        <v>0.33012689319489213</v>
      </c>
      <c r="EA5" s="78">
        <f t="shared" si="17"/>
        <v>0.33121631194243528</v>
      </c>
      <c r="EB5" s="78">
        <f t="shared" si="17"/>
        <v>0.33267366371498197</v>
      </c>
      <c r="EC5" s="78">
        <f t="shared" si="17"/>
        <v>0.33496911199461532</v>
      </c>
      <c r="ED5" s="78">
        <f t="shared" si="17"/>
        <v>0.33784984635776899</v>
      </c>
      <c r="EE5" s="78">
        <f t="shared" si="17"/>
        <v>0.33980937546664408</v>
      </c>
      <c r="EF5" s="78">
        <f t="shared" si="17"/>
        <v>0.34181425078189731</v>
      </c>
      <c r="EG5" s="78">
        <f t="shared" ref="EG5:GR5" si="18">IF(EG$1=$A8,1,IF(EG$1&lt;$A8,EH5/(1+EH4),EF5*(1+EG4)))</f>
        <v>0.34389931771166687</v>
      </c>
      <c r="EH5" s="78">
        <f t="shared" si="18"/>
        <v>0.34689124177575836</v>
      </c>
      <c r="EI5" s="78">
        <f t="shared" si="18"/>
        <v>0.34859100886045957</v>
      </c>
      <c r="EJ5" s="78">
        <f t="shared" si="18"/>
        <v>0.34852129065868748</v>
      </c>
      <c r="EK5" s="78">
        <f t="shared" si="18"/>
        <v>0.34939259388533417</v>
      </c>
      <c r="EL5" s="78">
        <f t="shared" si="18"/>
        <v>0.34998656129493927</v>
      </c>
      <c r="EM5" s="78">
        <f t="shared" si="18"/>
        <v>0.35121151425947156</v>
      </c>
      <c r="EN5" s="78">
        <f t="shared" si="18"/>
        <v>0.35384560061641762</v>
      </c>
      <c r="EO5" s="78">
        <f t="shared" si="18"/>
        <v>0.35579175141980796</v>
      </c>
      <c r="EP5" s="78">
        <f t="shared" si="18"/>
        <v>0.35707260172491928</v>
      </c>
      <c r="EQ5" s="78">
        <f t="shared" si="18"/>
        <v>0.35917933007509634</v>
      </c>
      <c r="ER5" s="78">
        <f t="shared" si="18"/>
        <v>0.36065196532840421</v>
      </c>
      <c r="ES5" s="78">
        <f t="shared" si="18"/>
        <v>0.36220276877931634</v>
      </c>
      <c r="ET5" s="78">
        <f t="shared" si="18"/>
        <v>0.36296339459375293</v>
      </c>
      <c r="EU5" s="78">
        <f t="shared" si="18"/>
        <v>0.36332635798834667</v>
      </c>
      <c r="EV5" s="78">
        <f t="shared" si="18"/>
        <v>0.36256337263657112</v>
      </c>
      <c r="EW5" s="78">
        <f t="shared" si="18"/>
        <v>0.36325224304458059</v>
      </c>
      <c r="EX5" s="78">
        <f t="shared" si="18"/>
        <v>0.36343386916610287</v>
      </c>
      <c r="EY5" s="78">
        <f t="shared" si="18"/>
        <v>0.36419708029135167</v>
      </c>
      <c r="EZ5" s="78">
        <f t="shared" si="18"/>
        <v>0.36539893065631318</v>
      </c>
      <c r="FA5" s="78">
        <f t="shared" si="18"/>
        <v>0.36653166734134779</v>
      </c>
      <c r="FB5" s="78">
        <f t="shared" si="18"/>
        <v>0.36829101934458625</v>
      </c>
      <c r="FC5" s="78">
        <f t="shared" si="18"/>
        <v>0.36991149982970239</v>
      </c>
      <c r="FD5" s="78">
        <f t="shared" si="18"/>
        <v>0.37153911042895305</v>
      </c>
      <c r="FE5" s="78">
        <f t="shared" si="18"/>
        <v>0.37291380513754019</v>
      </c>
      <c r="FF5" s="78">
        <f t="shared" si="18"/>
        <v>0.37384608965038402</v>
      </c>
      <c r="FG5" s="78">
        <f t="shared" si="18"/>
        <v>0.37489285870140504</v>
      </c>
      <c r="FH5" s="78">
        <f t="shared" si="18"/>
        <v>0.37594255870576893</v>
      </c>
      <c r="FI5" s="78">
        <f t="shared" si="18"/>
        <v>0.37684482084666276</v>
      </c>
      <c r="FJ5" s="78">
        <f t="shared" si="18"/>
        <v>0.37861599150464204</v>
      </c>
      <c r="FK5" s="78">
        <f t="shared" si="18"/>
        <v>0.37929750028935039</v>
      </c>
      <c r="FL5" s="78">
        <f t="shared" si="18"/>
        <v>0.38043539279021837</v>
      </c>
      <c r="FM5" s="78">
        <f t="shared" si="18"/>
        <v>0.38188104728282124</v>
      </c>
      <c r="FN5" s="78">
        <f t="shared" si="18"/>
        <v>0.38470696703271412</v>
      </c>
      <c r="FO5" s="78">
        <f t="shared" si="18"/>
        <v>0.38678438465469078</v>
      </c>
      <c r="FP5" s="78">
        <f t="shared" si="18"/>
        <v>0.38867962813949875</v>
      </c>
      <c r="FQ5" s="78">
        <f t="shared" si="18"/>
        <v>0.39054529035456831</v>
      </c>
      <c r="FR5" s="78">
        <f t="shared" si="18"/>
        <v>0.39269328945151843</v>
      </c>
      <c r="FS5" s="78">
        <f t="shared" si="18"/>
        <v>0.39579556643818542</v>
      </c>
      <c r="FT5" s="78">
        <f t="shared" si="18"/>
        <v>0.398724453629828</v>
      </c>
      <c r="FU5" s="78">
        <f t="shared" si="18"/>
        <v>0.40083769323406615</v>
      </c>
      <c r="FV5" s="78">
        <f t="shared" si="18"/>
        <v>0.40196003877512149</v>
      </c>
      <c r="FW5" s="78">
        <f t="shared" si="18"/>
        <v>0.40300513487593675</v>
      </c>
      <c r="FX5" s="78">
        <f t="shared" si="18"/>
        <v>0.40481865798287847</v>
      </c>
      <c r="FY5" s="78">
        <f t="shared" si="18"/>
        <v>0.40627600515161683</v>
      </c>
      <c r="FZ5" s="78">
        <f t="shared" si="18"/>
        <v>0.40741357796604133</v>
      </c>
      <c r="GA5" s="78">
        <f t="shared" si="18"/>
        <v>0.40936916314027827</v>
      </c>
      <c r="GB5" s="78">
        <f t="shared" si="18"/>
        <v>0.41162069353754982</v>
      </c>
      <c r="GC5" s="78">
        <f t="shared" si="18"/>
        <v>0.41244393492462494</v>
      </c>
      <c r="GD5" s="78">
        <f t="shared" si="18"/>
        <v>0.41442366581226309</v>
      </c>
      <c r="GE5" s="78">
        <f t="shared" si="18"/>
        <v>0.41637145704158068</v>
      </c>
      <c r="GF5" s="78">
        <f t="shared" si="18"/>
        <v>0.4178703942869304</v>
      </c>
      <c r="GG5" s="78">
        <f t="shared" si="18"/>
        <v>0.41887328323321904</v>
      </c>
      <c r="GH5" s="78">
        <f t="shared" si="18"/>
        <v>0.4195015931580689</v>
      </c>
      <c r="GI5" s="78">
        <f t="shared" si="18"/>
        <v>0.42050839698164827</v>
      </c>
      <c r="GJ5" s="78">
        <f t="shared" si="18"/>
        <v>0.42168582049319686</v>
      </c>
      <c r="GK5" s="78">
        <f t="shared" si="18"/>
        <v>0.42341473235721899</v>
      </c>
      <c r="GL5" s="78">
        <f t="shared" si="18"/>
        <v>0.42498136686694071</v>
      </c>
      <c r="GM5" s="78">
        <f t="shared" si="18"/>
        <v>0.42816872711844278</v>
      </c>
      <c r="GN5" s="78">
        <f t="shared" si="18"/>
        <v>0.43150844318996667</v>
      </c>
      <c r="GO5" s="78">
        <f t="shared" si="18"/>
        <v>0.43375228709455455</v>
      </c>
      <c r="GP5" s="78">
        <f t="shared" si="18"/>
        <v>0.4362246751309935</v>
      </c>
      <c r="GQ5" s="78">
        <f t="shared" si="18"/>
        <v>0.43810044123405678</v>
      </c>
      <c r="GR5" s="78">
        <f t="shared" si="18"/>
        <v>0.43810044123405678</v>
      </c>
      <c r="GS5" s="78">
        <f t="shared" ref="GS5:JD5" si="19">IF(GS$1=$A8,1,IF(GS$1&lt;$A8,GT5/(1+GT4),GR5*(1+GS4)))</f>
        <v>0.43814425127818019</v>
      </c>
      <c r="GT5" s="78">
        <f t="shared" si="19"/>
        <v>0.43831950897869143</v>
      </c>
      <c r="GU5" s="78">
        <f t="shared" si="19"/>
        <v>0.4402919467690955</v>
      </c>
      <c r="GV5" s="78">
        <f t="shared" si="19"/>
        <v>0.44359413636986372</v>
      </c>
      <c r="GW5" s="78">
        <f t="shared" si="19"/>
        <v>0.44727596770173356</v>
      </c>
      <c r="GX5" s="78">
        <f t="shared" si="19"/>
        <v>0.45009380629825446</v>
      </c>
      <c r="GY5" s="78">
        <f t="shared" si="19"/>
        <v>0.45382958489052994</v>
      </c>
      <c r="GZ5" s="78">
        <f t="shared" si="19"/>
        <v>0.45746022156965416</v>
      </c>
      <c r="HA5" s="78">
        <f t="shared" si="19"/>
        <v>0.46107415732005441</v>
      </c>
      <c r="HB5" s="78">
        <f t="shared" si="19"/>
        <v>0.46462442833141887</v>
      </c>
      <c r="HC5" s="78">
        <f t="shared" si="19"/>
        <v>0.46680816314457652</v>
      </c>
      <c r="HD5" s="78">
        <f t="shared" si="19"/>
        <v>0.46750837538929341</v>
      </c>
      <c r="HE5" s="78">
        <f t="shared" si="19"/>
        <v>0.46825638878991632</v>
      </c>
      <c r="HF5" s="78">
        <f t="shared" si="19"/>
        <v>0.46998893742843906</v>
      </c>
      <c r="HG5" s="78">
        <f t="shared" si="19"/>
        <v>0.4724798787968098</v>
      </c>
      <c r="HH5" s="78">
        <f t="shared" si="19"/>
        <v>0.47451154227563608</v>
      </c>
      <c r="HI5" s="78">
        <f t="shared" si="19"/>
        <v>0.47697900229546941</v>
      </c>
      <c r="HJ5" s="78">
        <f t="shared" si="19"/>
        <v>0.47936389730694673</v>
      </c>
      <c r="HK5" s="78">
        <f t="shared" si="19"/>
        <v>0.48204833513186568</v>
      </c>
      <c r="HL5" s="78">
        <f t="shared" si="19"/>
        <v>0.48421755263995903</v>
      </c>
      <c r="HM5" s="78">
        <f t="shared" si="19"/>
        <v>0.48523440950050295</v>
      </c>
      <c r="HN5" s="78">
        <f t="shared" si="19"/>
        <v>0.48833990972130614</v>
      </c>
      <c r="HO5" s="78">
        <f t="shared" si="19"/>
        <v>0.49009793339630287</v>
      </c>
      <c r="HP5" s="78">
        <f t="shared" si="19"/>
        <v>0.49049001174301987</v>
      </c>
      <c r="HQ5" s="78">
        <f t="shared" si="19"/>
        <v>0.49259911879351487</v>
      </c>
      <c r="HR5" s="78">
        <f t="shared" si="19"/>
        <v>0.49461877518056829</v>
      </c>
      <c r="HS5" s="78">
        <f t="shared" si="19"/>
        <v>0.49743810219909756</v>
      </c>
      <c r="HT5" s="78">
        <f t="shared" si="19"/>
        <v>0.50037298700207222</v>
      </c>
      <c r="HU5" s="78">
        <f t="shared" si="19"/>
        <v>0.50337522492408471</v>
      </c>
      <c r="HV5" s="78">
        <f t="shared" si="19"/>
        <v>0.50735188920098495</v>
      </c>
      <c r="HW5" s="78">
        <f t="shared" si="19"/>
        <v>0.51171511544811343</v>
      </c>
      <c r="HX5" s="78">
        <f t="shared" si="19"/>
        <v>0.51478540614080215</v>
      </c>
      <c r="HY5" s="78">
        <f t="shared" si="19"/>
        <v>0.51720489754966392</v>
      </c>
      <c r="HZ5" s="78">
        <f t="shared" si="19"/>
        <v>0.52004952448618713</v>
      </c>
      <c r="IA5" s="78">
        <f t="shared" si="19"/>
        <v>0.52197370772678608</v>
      </c>
      <c r="IB5" s="78">
        <f t="shared" si="19"/>
        <v>0.52333083936687574</v>
      </c>
      <c r="IC5" s="78">
        <f t="shared" si="19"/>
        <v>0.52348783861868575</v>
      </c>
      <c r="ID5" s="78">
        <f t="shared" si="19"/>
        <v>0.52474420943137057</v>
      </c>
      <c r="IE5" s="78">
        <f t="shared" si="19"/>
        <v>0.52658081416438041</v>
      </c>
      <c r="IF5" s="78">
        <f t="shared" si="19"/>
        <v>0.52958232480511735</v>
      </c>
      <c r="IG5" s="78">
        <f t="shared" si="19"/>
        <v>0.53244206935906502</v>
      </c>
      <c r="IH5" s="78">
        <f t="shared" si="19"/>
        <v>0.5373405363971685</v>
      </c>
      <c r="II5" s="78">
        <f t="shared" si="19"/>
        <v>0.54029590934735294</v>
      </c>
      <c r="IJ5" s="78">
        <f t="shared" si="19"/>
        <v>0.54402395112184965</v>
      </c>
      <c r="IK5" s="78">
        <f t="shared" si="19"/>
        <v>0.54902897147217067</v>
      </c>
      <c r="IL5" s="78">
        <f t="shared" si="19"/>
        <v>0.55270746558103412</v>
      </c>
      <c r="IM5" s="78">
        <f t="shared" si="19"/>
        <v>0.55524991992270689</v>
      </c>
      <c r="IN5" s="78">
        <f t="shared" si="19"/>
        <v>0.5574709196023977</v>
      </c>
      <c r="IO5" s="78">
        <f t="shared" si="19"/>
        <v>0.55752666669435791</v>
      </c>
      <c r="IP5" s="78">
        <f t="shared" si="19"/>
        <v>0.55892048336109379</v>
      </c>
      <c r="IQ5" s="78">
        <f t="shared" si="19"/>
        <v>0.562106330116252</v>
      </c>
      <c r="IR5" s="78">
        <f t="shared" si="19"/>
        <v>0.56446717670274027</v>
      </c>
      <c r="IS5" s="78">
        <f t="shared" si="19"/>
        <v>0.56734595930392429</v>
      </c>
      <c r="IT5" s="78">
        <f t="shared" si="19"/>
        <v>0.57177125778649496</v>
      </c>
      <c r="IU5" s="78">
        <f t="shared" si="19"/>
        <v>0.57886122138304752</v>
      </c>
      <c r="IV5" s="78">
        <f t="shared" si="19"/>
        <v>0.58592332828392069</v>
      </c>
      <c r="IW5" s="78">
        <f t="shared" si="19"/>
        <v>0.59365751621726848</v>
      </c>
      <c r="IX5" s="78">
        <f t="shared" si="19"/>
        <v>0.59787248458241116</v>
      </c>
      <c r="IY5" s="78">
        <f t="shared" si="19"/>
        <v>0.60229674096832109</v>
      </c>
      <c r="IZ5" s="78">
        <f t="shared" si="19"/>
        <v>0.60705488522197082</v>
      </c>
      <c r="JA5" s="78">
        <f t="shared" si="19"/>
        <v>0.61081862551034705</v>
      </c>
      <c r="JB5" s="78">
        <f t="shared" si="19"/>
        <v>0.61216242648646979</v>
      </c>
      <c r="JC5" s="78">
        <f t="shared" si="19"/>
        <v>0.61546810358949677</v>
      </c>
      <c r="JD5" s="78">
        <f t="shared" si="19"/>
        <v>0.62051494203893065</v>
      </c>
      <c r="JE5" s="78">
        <f t="shared" ref="JE5:LP5" si="20">IF(JE$1=$A8,1,IF(JE$1&lt;$A8,JF5/(1+JF4),JD5*(1+JE4)))</f>
        <v>0.62678214295352386</v>
      </c>
      <c r="JF5" s="78">
        <f t="shared" si="20"/>
        <v>0.63279925152587768</v>
      </c>
      <c r="JG5" s="78">
        <f t="shared" si="20"/>
        <v>0.64083580202025625</v>
      </c>
      <c r="JH5" s="78">
        <f t="shared" si="20"/>
        <v>0.64660332423843847</v>
      </c>
      <c r="JI5" s="78">
        <f t="shared" si="20"/>
        <v>0.64938371853266375</v>
      </c>
      <c r="JJ5" s="78">
        <f t="shared" si="20"/>
        <v>0.65334495921571301</v>
      </c>
      <c r="JK5" s="78">
        <f t="shared" si="20"/>
        <v>0.65844104989759555</v>
      </c>
      <c r="JL5" s="78">
        <f t="shared" si="20"/>
        <v>0.66074559357223717</v>
      </c>
      <c r="JM5" s="78">
        <f t="shared" si="20"/>
        <v>0.66418147065881283</v>
      </c>
      <c r="JN5" s="78">
        <f t="shared" si="20"/>
        <v>0.66710386912971154</v>
      </c>
      <c r="JO5" s="78">
        <f t="shared" si="20"/>
        <v>0.6676375522250152</v>
      </c>
      <c r="JP5" s="78">
        <f t="shared" si="20"/>
        <v>0.66937340986080018</v>
      </c>
      <c r="JQ5" s="78">
        <f t="shared" si="20"/>
        <v>0.67057828199854963</v>
      </c>
      <c r="JR5" s="78">
        <f t="shared" si="20"/>
        <v>0.67259001684454522</v>
      </c>
      <c r="JS5" s="78">
        <f t="shared" si="20"/>
        <v>0.6751458589085545</v>
      </c>
      <c r="JT5" s="78">
        <f t="shared" si="20"/>
        <v>0.67737384024295277</v>
      </c>
      <c r="JU5" s="78">
        <f t="shared" si="20"/>
        <v>0.67906727484356011</v>
      </c>
      <c r="JV5" s="78">
        <f t="shared" si="20"/>
        <v>0.68001796902834111</v>
      </c>
      <c r="JW5" s="78">
        <f t="shared" si="20"/>
        <v>0.68212602473232908</v>
      </c>
      <c r="JX5" s="78">
        <f t="shared" si="20"/>
        <v>0.68055713487544478</v>
      </c>
      <c r="JY5" s="78">
        <f t="shared" si="20"/>
        <v>0.68219047199914584</v>
      </c>
      <c r="JZ5" s="78">
        <f t="shared" si="20"/>
        <v>0.68348663389594422</v>
      </c>
      <c r="KA5" s="78">
        <f t="shared" si="20"/>
        <v>0.68458021251017775</v>
      </c>
      <c r="KB5" s="78">
        <f t="shared" si="20"/>
        <v>0.68745544940272052</v>
      </c>
      <c r="KC5" s="78">
        <f t="shared" si="20"/>
        <v>0.68938032466104804</v>
      </c>
      <c r="KD5" s="78">
        <f t="shared" si="20"/>
        <v>0.6924135980895566</v>
      </c>
      <c r="KE5" s="78">
        <f t="shared" si="20"/>
        <v>0.69442159752401622</v>
      </c>
      <c r="KF5" s="78">
        <f t="shared" si="20"/>
        <v>0.69664374663609319</v>
      </c>
      <c r="KG5" s="78">
        <f t="shared" si="20"/>
        <v>0.69727072600806561</v>
      </c>
      <c r="KH5" s="78">
        <f t="shared" si="20"/>
        <v>0.6988047216052834</v>
      </c>
      <c r="KI5" s="78">
        <f t="shared" si="20"/>
        <v>0.70159994049170449</v>
      </c>
      <c r="KJ5" s="78">
        <f t="shared" si="20"/>
        <v>0.71044009974189992</v>
      </c>
      <c r="KK5" s="78">
        <f t="shared" si="20"/>
        <v>0.71278455207104829</v>
      </c>
      <c r="KL5" s="78">
        <f t="shared" si="20"/>
        <v>0.71214304597418432</v>
      </c>
      <c r="KM5" s="78">
        <f t="shared" si="20"/>
        <v>0.71556133259486032</v>
      </c>
      <c r="KN5" s="78">
        <f t="shared" si="20"/>
        <v>0.71878135859153713</v>
      </c>
      <c r="KO5" s="78">
        <f t="shared" si="20"/>
        <v>0.71727191773849486</v>
      </c>
      <c r="KP5" s="78">
        <f t="shared" si="20"/>
        <v>0.71834782561510269</v>
      </c>
      <c r="KQ5" s="78">
        <f t="shared" si="20"/>
        <v>0.72064653865707107</v>
      </c>
      <c r="KR5" s="78">
        <f t="shared" si="20"/>
        <v>0.7237453187732964</v>
      </c>
      <c r="KS5" s="78">
        <f t="shared" si="20"/>
        <v>0.72917340866409619</v>
      </c>
      <c r="KT5" s="78">
        <f t="shared" si="20"/>
        <v>0.73332969709348161</v>
      </c>
      <c r="KU5" s="78">
        <f t="shared" si="20"/>
        <v>0.73428302569970316</v>
      </c>
      <c r="KV5" s="78">
        <f t="shared" si="20"/>
        <v>0.73435645400227312</v>
      </c>
      <c r="KW5" s="78">
        <f t="shared" si="20"/>
        <v>0.73575173126487747</v>
      </c>
      <c r="KX5" s="78">
        <f t="shared" si="20"/>
        <v>0.73656105816926887</v>
      </c>
      <c r="KY5" s="78">
        <f t="shared" si="20"/>
        <v>0.7362664337460012</v>
      </c>
      <c r="KZ5" s="78">
        <f t="shared" si="20"/>
        <v>0.73700270017974712</v>
      </c>
      <c r="LA5" s="78">
        <f t="shared" si="20"/>
        <v>0.74076141395066386</v>
      </c>
      <c r="LB5" s="78">
        <f t="shared" si="20"/>
        <v>0.7492801702110965</v>
      </c>
      <c r="LC5" s="78">
        <f t="shared" si="20"/>
        <v>0.75085365856853981</v>
      </c>
      <c r="LD5" s="78">
        <f t="shared" si="20"/>
        <v>0.75273079271496113</v>
      </c>
      <c r="LE5" s="78">
        <f t="shared" si="20"/>
        <v>0.75325770426986149</v>
      </c>
      <c r="LF5" s="78">
        <f t="shared" si="20"/>
        <v>0.75092260538662492</v>
      </c>
      <c r="LG5" s="78">
        <f t="shared" si="20"/>
        <v>0.74806909948615574</v>
      </c>
      <c r="LH5" s="78">
        <f t="shared" si="20"/>
        <v>0.75001407914481966</v>
      </c>
      <c r="LI5" s="78">
        <f t="shared" si="20"/>
        <v>0.75271412982974106</v>
      </c>
      <c r="LJ5" s="78">
        <f t="shared" si="20"/>
        <v>0.75452064374133243</v>
      </c>
      <c r="LK5" s="78">
        <f t="shared" si="20"/>
        <v>0.75934957586127694</v>
      </c>
      <c r="LL5" s="78">
        <f t="shared" si="20"/>
        <v>0.76587998221368392</v>
      </c>
      <c r="LM5" s="78">
        <f t="shared" si="20"/>
        <v>0.77269631405538564</v>
      </c>
      <c r="LN5" s="78">
        <f t="shared" si="20"/>
        <v>0.78312771429513339</v>
      </c>
      <c r="LO5" s="78">
        <f t="shared" si="20"/>
        <v>0.78508553358087119</v>
      </c>
      <c r="LP5" s="78">
        <f t="shared" si="20"/>
        <v>0.79183726916966668</v>
      </c>
      <c r="LQ5" s="78">
        <f t="shared" ref="LQ5:NH5" si="21">IF(LQ$1=$A8,1,IF(LQ$1&lt;$A8,LR5/(1+LR4),LP5*(1+LQ4)))</f>
        <v>0.7992013557729446</v>
      </c>
      <c r="LR5" s="78">
        <f t="shared" si="21"/>
        <v>0.80167887997584086</v>
      </c>
      <c r="LS5" s="78">
        <f t="shared" si="21"/>
        <v>0.80833281467964035</v>
      </c>
      <c r="LT5" s="78">
        <f t="shared" si="21"/>
        <v>0.81261697859744253</v>
      </c>
      <c r="LU5" s="78">
        <f t="shared" si="21"/>
        <v>0.82041810159197803</v>
      </c>
      <c r="LV5" s="78">
        <f t="shared" si="21"/>
        <v>0.82755573907582813</v>
      </c>
      <c r="LW5" s="78">
        <f t="shared" si="21"/>
        <v>0.83715538564910774</v>
      </c>
      <c r="LX5" s="78">
        <f t="shared" si="21"/>
        <v>0.84761982796972157</v>
      </c>
      <c r="LY5" s="78">
        <f t="shared" si="21"/>
        <v>0.855672216335434</v>
      </c>
      <c r="LZ5" s="78">
        <f t="shared" si="21"/>
        <v>0.86191862351468274</v>
      </c>
      <c r="MA5" s="78">
        <f t="shared" si="21"/>
        <v>0.86657298408166206</v>
      </c>
      <c r="MB5" s="78">
        <f t="shared" si="21"/>
        <v>0.87532537122088683</v>
      </c>
      <c r="MC5" s="78">
        <f t="shared" si="21"/>
        <v>0.88950564223466522</v>
      </c>
      <c r="MD5" s="78">
        <f t="shared" si="21"/>
        <v>0.89893440204235264</v>
      </c>
      <c r="ME5" s="78">
        <f t="shared" si="21"/>
        <v>0.90315939373195164</v>
      </c>
      <c r="MF5" s="78">
        <f t="shared" si="21"/>
        <v>0.90921056166995562</v>
      </c>
      <c r="MG5" s="78">
        <f t="shared" si="21"/>
        <v>0.90302792985059988</v>
      </c>
      <c r="MH5" s="78">
        <f t="shared" si="21"/>
        <v>0.89977702930313763</v>
      </c>
      <c r="MI5" s="78">
        <f t="shared" si="21"/>
        <v>0.89716767591815849</v>
      </c>
      <c r="MJ5" s="78">
        <f t="shared" si="21"/>
        <v>0.90246096520607566</v>
      </c>
      <c r="MK5" s="78">
        <f t="shared" si="21"/>
        <v>0.9061610551634206</v>
      </c>
      <c r="ML5" s="78">
        <f t="shared" si="21"/>
        <v>0.91177925370543378</v>
      </c>
      <c r="MM5" s="78">
        <f t="shared" si="21"/>
        <v>0.91661168375007263</v>
      </c>
      <c r="MN5" s="78">
        <f t="shared" si="21"/>
        <v>0.92431122189357318</v>
      </c>
      <c r="MO5" s="78">
        <f t="shared" si="21"/>
        <v>0.9308738315690176</v>
      </c>
      <c r="MP5" s="78">
        <f t="shared" si="21"/>
        <v>0.93655216194158863</v>
      </c>
      <c r="MQ5" s="78">
        <f t="shared" si="21"/>
        <v>0.93870623191405422</v>
      </c>
      <c r="MR5" s="78">
        <f t="shared" si="21"/>
        <v>0.93795526692852293</v>
      </c>
      <c r="MS5" s="78">
        <f t="shared" si="21"/>
        <v>0.9390808132488373</v>
      </c>
      <c r="MT5" s="78">
        <f t="shared" si="21"/>
        <v>0.94124069911930963</v>
      </c>
      <c r="MU5" s="78">
        <f t="shared" si="21"/>
        <v>0.94368792493701981</v>
      </c>
      <c r="MV5" s="78">
        <f t="shared" si="21"/>
        <v>0.94595277595686866</v>
      </c>
      <c r="MW5" s="78">
        <f t="shared" si="21"/>
        <v>0.9486014437295478</v>
      </c>
      <c r="MX5" s="78">
        <f t="shared" si="21"/>
        <v>0.95391361181443335</v>
      </c>
      <c r="MY5" s="78">
        <f t="shared" si="21"/>
        <v>0.95792004898405392</v>
      </c>
      <c r="MZ5" s="78">
        <f t="shared" si="21"/>
        <v>0.96587078539062154</v>
      </c>
      <c r="NA5" s="78">
        <f t="shared" si="21"/>
        <v>0.96741617864724661</v>
      </c>
      <c r="NB5" s="78">
        <f t="shared" si="21"/>
        <v>0.97109236012610611</v>
      </c>
      <c r="NC5" s="78">
        <f t="shared" si="21"/>
        <v>0.97555938498268613</v>
      </c>
      <c r="ND5" s="78">
        <f t="shared" si="21"/>
        <v>0.97760805969114972</v>
      </c>
      <c r="NE5" s="78">
        <f t="shared" si="21"/>
        <v>0.98132297031797611</v>
      </c>
      <c r="NF5" s="78">
        <f t="shared" si="21"/>
        <v>0.98112670572391258</v>
      </c>
      <c r="NG5" s="78">
        <f t="shared" si="21"/>
        <v>0.98544366322909771</v>
      </c>
      <c r="NH5" s="78">
        <f t="shared" si="21"/>
        <v>0.9909621477431807</v>
      </c>
      <c r="NI5" s="78">
        <f>IF(NI$1=$A8,1,IF(NI$1&lt;$A8,NJ5/(1+NJ4),NH5*(1+NI4)))</f>
        <v>0.99482690011937913</v>
      </c>
      <c r="NJ5" s="78">
        <v>1</v>
      </c>
      <c r="NK5" s="79">
        <f>NJ5*(1+NK4)</f>
        <v>1.0485</v>
      </c>
      <c r="NL5" s="79">
        <f t="shared" ref="NL5:OI5" si="22">NK5*(1+NL4)</f>
        <v>1.0936903499999999</v>
      </c>
      <c r="NM5" s="79">
        <f t="shared" si="22"/>
        <v>1.1367817497900001</v>
      </c>
      <c r="NN5" s="79">
        <f t="shared" si="22"/>
        <v>1.1799794562820203</v>
      </c>
      <c r="NO5" s="79">
        <f t="shared" si="22"/>
        <v>1.2248186756207371</v>
      </c>
      <c r="NP5" s="79">
        <f t="shared" si="22"/>
        <v>1.2713617852943251</v>
      </c>
      <c r="NQ5" s="79">
        <f t="shared" si="22"/>
        <v>1.3196735331355094</v>
      </c>
      <c r="NR5" s="79">
        <f t="shared" si="22"/>
        <v>1.3698211273946588</v>
      </c>
      <c r="NS5" s="79">
        <f t="shared" si="22"/>
        <v>1.4218743302356558</v>
      </c>
      <c r="NT5" s="79">
        <f t="shared" si="22"/>
        <v>1.4759055547846107</v>
      </c>
      <c r="NU5" s="79">
        <f t="shared" si="22"/>
        <v>1.531989965866426</v>
      </c>
      <c r="NV5" s="79">
        <f t="shared" si="22"/>
        <v>1.5902055845693501</v>
      </c>
      <c r="NW5" s="79">
        <f t="shared" si="22"/>
        <v>1.6506333967829856</v>
      </c>
      <c r="NX5" s="79">
        <f t="shared" si="22"/>
        <v>1.7133574658607391</v>
      </c>
      <c r="NY5" s="79">
        <f t="shared" si="22"/>
        <v>1.7784650495634473</v>
      </c>
      <c r="NZ5" s="79">
        <f t="shared" si="22"/>
        <v>1.8460467214468583</v>
      </c>
      <c r="OA5" s="79">
        <f t="shared" si="22"/>
        <v>1.916196496861839</v>
      </c>
      <c r="OB5" s="79">
        <f t="shared" si="22"/>
        <v>1.9890119637425889</v>
      </c>
      <c r="OC5" s="79">
        <f t="shared" si="22"/>
        <v>2.0645944183648073</v>
      </c>
      <c r="OD5" s="79">
        <f t="shared" si="22"/>
        <v>2.1430490062626699</v>
      </c>
      <c r="OE5" s="79">
        <f t="shared" si="22"/>
        <v>2.2244848685006513</v>
      </c>
      <c r="OF5" s="79">
        <f t="shared" si="22"/>
        <v>2.3090152935036761</v>
      </c>
      <c r="OG5" s="79">
        <f t="shared" si="22"/>
        <v>2.3967578746568159</v>
      </c>
      <c r="OH5" s="79">
        <f t="shared" si="22"/>
        <v>2.4878346738937749</v>
      </c>
      <c r="OI5" s="79">
        <f t="shared" si="22"/>
        <v>2.5823723915017385</v>
      </c>
    </row>
    <row r="6" spans="1:399">
      <c r="A6" t="str">
        <f>"Inflação acumulada do mês até "&amp;TEXT(A8,"mmm/aaaa")</f>
        <v>Inflação acumulada do mês até Dec/Tuesday</v>
      </c>
      <c r="I6" s="80">
        <f>1/I5-1</f>
        <v>6.7523767001869581</v>
      </c>
      <c r="J6" s="80">
        <f t="shared" ref="J6:BU6" si="23">1/J5-1</f>
        <v>6.6108155313046915</v>
      </c>
      <c r="K6" s="80">
        <f t="shared" si="23"/>
        <v>6.4961248215352034</v>
      </c>
      <c r="L6" s="80">
        <f t="shared" si="23"/>
        <v>6.3047406173603617</v>
      </c>
      <c r="M6" s="80">
        <f t="shared" si="23"/>
        <v>6.105087654275227</v>
      </c>
      <c r="N6" s="80">
        <f t="shared" si="23"/>
        <v>5.9856333244275177</v>
      </c>
      <c r="O6" s="80">
        <f t="shared" si="23"/>
        <v>5.8688626592207651</v>
      </c>
      <c r="P6" s="80">
        <f t="shared" si="23"/>
        <v>5.7995076808758315</v>
      </c>
      <c r="Q6" s="80">
        <f t="shared" si="23"/>
        <v>5.6957239595035256</v>
      </c>
      <c r="R6" s="80">
        <f t="shared" si="23"/>
        <v>5.5368778282764088</v>
      </c>
      <c r="S6" s="80">
        <f t="shared" si="23"/>
        <v>5.3668820768251768</v>
      </c>
      <c r="T6" s="80">
        <f t="shared" si="23"/>
        <v>5.2261706207952052</v>
      </c>
      <c r="U6" s="80">
        <f t="shared" si="23"/>
        <v>5.0826207706088358</v>
      </c>
      <c r="V6" s="80">
        <f t="shared" si="23"/>
        <v>5.0229931385373163</v>
      </c>
      <c r="W6" s="80">
        <f t="shared" si="23"/>
        <v>4.963950033208552</v>
      </c>
      <c r="X6" s="80">
        <f t="shared" si="23"/>
        <v>4.8810275448264981</v>
      </c>
      <c r="Y6" s="80">
        <f t="shared" si="23"/>
        <v>4.7958288605760311</v>
      </c>
      <c r="Z6" s="80">
        <f t="shared" si="23"/>
        <v>4.7068027378653312</v>
      </c>
      <c r="AA6" s="80">
        <f t="shared" si="23"/>
        <v>4.6313427450812421</v>
      </c>
      <c r="AB6" s="80">
        <f t="shared" si="23"/>
        <v>4.573931253173555</v>
      </c>
      <c r="AC6" s="80">
        <f t="shared" si="23"/>
        <v>4.5544905362965169</v>
      </c>
      <c r="AD6" s="80">
        <f t="shared" si="23"/>
        <v>4.4853748136445946</v>
      </c>
      <c r="AE6" s="80">
        <f t="shared" si="23"/>
        <v>4.4192598435532453</v>
      </c>
      <c r="AF6" s="80">
        <f t="shared" si="23"/>
        <v>4.3555290478834321</v>
      </c>
      <c r="AG6" s="80">
        <f t="shared" si="23"/>
        <v>4.2967352862065393</v>
      </c>
      <c r="AH6" s="80">
        <f t="shared" si="23"/>
        <v>4.2735317465218436</v>
      </c>
      <c r="AI6" s="80">
        <f t="shared" si="23"/>
        <v>4.2656332965769774</v>
      </c>
      <c r="AJ6" s="80">
        <f t="shared" si="23"/>
        <v>4.2498836456400575</v>
      </c>
      <c r="AK6" s="80">
        <f t="shared" si="23"/>
        <v>4.2331376053030869</v>
      </c>
      <c r="AL6" s="80">
        <f t="shared" si="23"/>
        <v>4.2086569177894768</v>
      </c>
      <c r="AM6" s="80">
        <f t="shared" si="23"/>
        <v>4.1479115613653654</v>
      </c>
      <c r="AN6" s="80">
        <f t="shared" si="23"/>
        <v>4.1223000610600655</v>
      </c>
      <c r="AO6" s="80">
        <f t="shared" si="23"/>
        <v>4.0963088857427765</v>
      </c>
      <c r="AP6" s="80">
        <f t="shared" si="23"/>
        <v>4.0518525830122689</v>
      </c>
      <c r="AQ6" s="80">
        <f t="shared" si="23"/>
        <v>4.0312245623068117</v>
      </c>
      <c r="AR6" s="80">
        <f t="shared" si="23"/>
        <v>4.0042018721969477</v>
      </c>
      <c r="AS6" s="80">
        <f t="shared" si="23"/>
        <v>3.9932167952474025</v>
      </c>
      <c r="AT6" s="80">
        <f t="shared" si="23"/>
        <v>3.9942156383750778</v>
      </c>
      <c r="AU6" s="80">
        <f t="shared" si="23"/>
        <v>3.9912209058315797</v>
      </c>
      <c r="AV6" s="80">
        <f t="shared" si="23"/>
        <v>3.9797674407179287</v>
      </c>
      <c r="AW6" s="80">
        <f t="shared" si="23"/>
        <v>3.9713162031725346</v>
      </c>
      <c r="AX6" s="80">
        <f t="shared" si="23"/>
        <v>3.9500310695733694</v>
      </c>
      <c r="AY6" s="80">
        <f t="shared" si="23"/>
        <v>3.9151336208652259</v>
      </c>
      <c r="AZ6" s="80">
        <f t="shared" si="23"/>
        <v>3.8926275342078691</v>
      </c>
      <c r="BA6" s="80">
        <f t="shared" si="23"/>
        <v>3.8760489677176286</v>
      </c>
      <c r="BB6" s="80">
        <f t="shared" si="23"/>
        <v>3.8643744689920485</v>
      </c>
      <c r="BC6" s="80">
        <f t="shared" si="23"/>
        <v>3.8401736009871135</v>
      </c>
      <c r="BD6" s="80">
        <f t="shared" si="23"/>
        <v>3.8392057598351457</v>
      </c>
      <c r="BE6" s="80">
        <f t="shared" si="23"/>
        <v>3.8450197835754363</v>
      </c>
      <c r="BF6" s="80">
        <f t="shared" si="23"/>
        <v>3.8698560494275167</v>
      </c>
      <c r="BG6" s="80">
        <f t="shared" si="23"/>
        <v>3.8805933548080942</v>
      </c>
      <c r="BH6" s="80">
        <f t="shared" si="23"/>
        <v>3.8796174313218303</v>
      </c>
      <c r="BI6" s="80">
        <f t="shared" si="23"/>
        <v>3.885480007330627</v>
      </c>
      <c r="BJ6" s="80">
        <f t="shared" si="23"/>
        <v>3.8694109511916936</v>
      </c>
      <c r="BK6" s="80">
        <f t="shared" si="23"/>
        <v>3.8355620170721885</v>
      </c>
      <c r="BL6" s="80">
        <f t="shared" si="23"/>
        <v>3.7853161970036506</v>
      </c>
      <c r="BM6" s="80">
        <f t="shared" si="23"/>
        <v>3.7332504421401103</v>
      </c>
      <c r="BN6" s="80">
        <f t="shared" si="23"/>
        <v>3.7068918477924724</v>
      </c>
      <c r="BO6" s="80">
        <f t="shared" si="23"/>
        <v>3.6928134075697638</v>
      </c>
      <c r="BP6" s="80">
        <f t="shared" si="23"/>
        <v>3.6839139710248165</v>
      </c>
      <c r="BQ6" s="80">
        <f t="shared" si="23"/>
        <v>3.633409804159478</v>
      </c>
      <c r="BR6" s="80">
        <f t="shared" si="23"/>
        <v>3.6076072038180964</v>
      </c>
      <c r="BS6" s="80">
        <f t="shared" si="23"/>
        <v>3.5933677637504697</v>
      </c>
      <c r="BT6" s="80">
        <f t="shared" si="23"/>
        <v>3.5393495046451919</v>
      </c>
      <c r="BU6" s="80">
        <f t="shared" si="23"/>
        <v>3.4966315053444204</v>
      </c>
      <c r="BV6" s="80">
        <f t="shared" ref="BV6:EG6" si="24">1/BV5-1</f>
        <v>3.4698126295670182</v>
      </c>
      <c r="BW6" s="80">
        <f t="shared" si="24"/>
        <v>3.4422705521437269</v>
      </c>
      <c r="BX6" s="80">
        <f t="shared" si="24"/>
        <v>3.4365030981161757</v>
      </c>
      <c r="BY6" s="80">
        <f t="shared" si="24"/>
        <v>3.4267642168391292</v>
      </c>
      <c r="BZ6" s="80">
        <f t="shared" si="24"/>
        <v>3.4082495686507963</v>
      </c>
      <c r="CA6" s="80">
        <f t="shared" si="24"/>
        <v>3.4078087877720193</v>
      </c>
      <c r="CB6" s="80">
        <f t="shared" si="24"/>
        <v>3.3976940913618865</v>
      </c>
      <c r="CC6" s="80">
        <f t="shared" si="24"/>
        <v>3.3280130807616244</v>
      </c>
      <c r="CD6" s="80">
        <f t="shared" si="24"/>
        <v>3.2720492357729976</v>
      </c>
      <c r="CE6" s="80">
        <f t="shared" si="24"/>
        <v>3.2622460698124289</v>
      </c>
      <c r="CF6" s="80">
        <f t="shared" si="24"/>
        <v>3.2562872676377363</v>
      </c>
      <c r="CG6" s="80">
        <f t="shared" si="24"/>
        <v>3.2427105937377751</v>
      </c>
      <c r="CH6" s="80">
        <f t="shared" si="24"/>
        <v>3.2178254237377226</v>
      </c>
      <c r="CI6" s="80">
        <f t="shared" si="24"/>
        <v>3.1939200792857934</v>
      </c>
      <c r="CJ6" s="80">
        <f t="shared" si="24"/>
        <v>3.1747163839197627</v>
      </c>
      <c r="CK6" s="80">
        <f t="shared" si="24"/>
        <v>3.1589125163576037</v>
      </c>
      <c r="CL6" s="80">
        <f t="shared" si="24"/>
        <v>3.1349299228053331</v>
      </c>
      <c r="CM6" s="80">
        <f t="shared" si="24"/>
        <v>3.1180459344739893</v>
      </c>
      <c r="CN6" s="80">
        <f t="shared" si="24"/>
        <v>3.0967428715419709</v>
      </c>
      <c r="CO6" s="80">
        <f t="shared" si="24"/>
        <v>3.0429713525530149</v>
      </c>
      <c r="CP6" s="80">
        <f t="shared" si="24"/>
        <v>3.0148672815819424</v>
      </c>
      <c r="CQ6" s="80">
        <f t="shared" si="24"/>
        <v>3.003657041864721</v>
      </c>
      <c r="CR6" s="80">
        <f t="shared" si="24"/>
        <v>2.9707002299560861</v>
      </c>
      <c r="CS6" s="80">
        <f t="shared" si="24"/>
        <v>2.9427070101837809</v>
      </c>
      <c r="CT6" s="80">
        <f t="shared" si="24"/>
        <v>2.9172449182153812</v>
      </c>
      <c r="CU6" s="80">
        <f t="shared" si="24"/>
        <v>2.8969806189965985</v>
      </c>
      <c r="CV6" s="80">
        <f t="shared" si="24"/>
        <v>2.8830018124716998</v>
      </c>
      <c r="CW6" s="80">
        <f t="shared" si="24"/>
        <v>2.8598427559360831</v>
      </c>
      <c r="CX6" s="80">
        <f t="shared" si="24"/>
        <v>2.8292090832699239</v>
      </c>
      <c r="CY6" s="80">
        <f t="shared" si="24"/>
        <v>2.8211845956191244</v>
      </c>
      <c r="CZ6" s="80">
        <f t="shared" si="24"/>
        <v>2.80520274409393</v>
      </c>
      <c r="DA6" s="80">
        <f t="shared" si="24"/>
        <v>2.7604533492379977</v>
      </c>
      <c r="DB6" s="80">
        <f t="shared" si="24"/>
        <v>2.7361682555767493</v>
      </c>
      <c r="DC6" s="80">
        <f t="shared" si="24"/>
        <v>2.7094601425503866</v>
      </c>
      <c r="DD6" s="80">
        <f t="shared" si="24"/>
        <v>2.6614945637650638</v>
      </c>
      <c r="DE6" s="80">
        <f t="shared" si="24"/>
        <v>2.5541589630800461</v>
      </c>
      <c r="DF6" s="80">
        <f t="shared" si="24"/>
        <v>2.4810567708913287</v>
      </c>
      <c r="DG6" s="80">
        <f t="shared" si="24"/>
        <v>2.4044564996492213</v>
      </c>
      <c r="DH6" s="80">
        <f t="shared" si="24"/>
        <v>2.351832725853324</v>
      </c>
      <c r="DI6" s="80">
        <f t="shared" si="24"/>
        <v>2.3111061205703098</v>
      </c>
      <c r="DJ6" s="80">
        <f t="shared" si="24"/>
        <v>2.2792969402498855</v>
      </c>
      <c r="DK6" s="80">
        <f t="shared" si="24"/>
        <v>2.2594145117283424</v>
      </c>
      <c r="DL6" s="80">
        <f t="shared" si="24"/>
        <v>2.2643109781956356</v>
      </c>
      <c r="DM6" s="80">
        <f t="shared" si="24"/>
        <v>2.2577953874207939</v>
      </c>
      <c r="DN6" s="80">
        <f t="shared" si="24"/>
        <v>2.2467564156077269</v>
      </c>
      <c r="DO6" s="80">
        <f t="shared" si="24"/>
        <v>2.2216277193964347</v>
      </c>
      <c r="DP6" s="80">
        <f t="shared" si="24"/>
        <v>2.2123120145542279</v>
      </c>
      <c r="DQ6" s="80">
        <f t="shared" si="24"/>
        <v>2.2014271622027386</v>
      </c>
      <c r="DR6" s="80">
        <f t="shared" si="24"/>
        <v>2.1848658597321311</v>
      </c>
      <c r="DS6" s="80">
        <f t="shared" si="24"/>
        <v>2.1608434495158111</v>
      </c>
      <c r="DT6" s="80">
        <f t="shared" si="24"/>
        <v>2.1416792063570331</v>
      </c>
      <c r="DU6" s="80">
        <f t="shared" si="24"/>
        <v>2.1269823891281314</v>
      </c>
      <c r="DV6" s="80">
        <f t="shared" si="24"/>
        <v>2.1154552048701118</v>
      </c>
      <c r="DW6" s="80">
        <f t="shared" si="24"/>
        <v>2.0996470051438778</v>
      </c>
      <c r="DX6" s="80">
        <f t="shared" si="24"/>
        <v>2.0777946630363191</v>
      </c>
      <c r="DY6" s="80">
        <f t="shared" si="24"/>
        <v>2.050039305357565</v>
      </c>
      <c r="DZ6" s="80">
        <f t="shared" si="24"/>
        <v>2.0291382514227485</v>
      </c>
      <c r="EA6" s="80">
        <f t="shared" si="24"/>
        <v>2.0191749740085205</v>
      </c>
      <c r="EB6" s="80">
        <f t="shared" si="24"/>
        <v>2.0059487992916374</v>
      </c>
      <c r="EC6" s="80">
        <f t="shared" si="24"/>
        <v>1.9853498850845543</v>
      </c>
      <c r="ED6" s="80">
        <f t="shared" si="24"/>
        <v>1.9598947898914876</v>
      </c>
      <c r="EE6" s="80">
        <f t="shared" si="24"/>
        <v>1.9428263967901045</v>
      </c>
      <c r="EF6" s="80">
        <f t="shared" si="24"/>
        <v>1.9255655599861861</v>
      </c>
      <c r="EG6" s="80">
        <f t="shared" si="24"/>
        <v>1.9078278103430932</v>
      </c>
      <c r="EH6" s="80">
        <f t="shared" ref="EH6:GS6" si="25">1/EH5-1</f>
        <v>1.8827479035819303</v>
      </c>
      <c r="EI6" s="80">
        <f t="shared" si="25"/>
        <v>1.8686913161328795</v>
      </c>
      <c r="EJ6" s="80">
        <f t="shared" si="25"/>
        <v>1.8692651691667126</v>
      </c>
      <c r="EK6" s="80">
        <f t="shared" si="25"/>
        <v>1.8621098944306365</v>
      </c>
      <c r="EL6" s="80">
        <f t="shared" si="25"/>
        <v>1.8572525650700169</v>
      </c>
      <c r="EM6" s="80">
        <f t="shared" si="25"/>
        <v>1.8472870603587617</v>
      </c>
      <c r="EN6" s="80">
        <f t="shared" si="25"/>
        <v>1.8260913750459169</v>
      </c>
      <c r="EO6" s="80">
        <f t="shared" si="25"/>
        <v>1.8106328941282115</v>
      </c>
      <c r="EP6" s="80">
        <f t="shared" si="25"/>
        <v>1.8005509108491542</v>
      </c>
      <c r="EQ6" s="80">
        <f t="shared" si="25"/>
        <v>1.7841245758516293</v>
      </c>
      <c r="ER6" s="80">
        <f t="shared" si="25"/>
        <v>1.7727562751236228</v>
      </c>
      <c r="ES6" s="80">
        <f t="shared" si="25"/>
        <v>1.7608844718944767</v>
      </c>
      <c r="ET6" s="80">
        <f t="shared" si="25"/>
        <v>1.7550987644890492</v>
      </c>
      <c r="EU6" s="80">
        <f t="shared" si="25"/>
        <v>1.7523464180709785</v>
      </c>
      <c r="EV6" s="80">
        <f t="shared" si="25"/>
        <v>1.7581385089397523</v>
      </c>
      <c r="EW6" s="80">
        <f t="shared" si="25"/>
        <v>1.7529079837705881</v>
      </c>
      <c r="EX6" s="80">
        <f t="shared" si="25"/>
        <v>1.7515322176617572</v>
      </c>
      <c r="EY6" s="80">
        <f t="shared" si="25"/>
        <v>1.7457661088332079</v>
      </c>
      <c r="EZ6" s="80">
        <f t="shared" si="25"/>
        <v>1.7367348837169416</v>
      </c>
      <c r="FA6" s="80">
        <f t="shared" si="25"/>
        <v>1.7282772243215443</v>
      </c>
      <c r="FB6" s="80">
        <f t="shared" si="25"/>
        <v>1.7152440528677793</v>
      </c>
      <c r="FC6" s="80">
        <f t="shared" si="25"/>
        <v>1.7033493158779165</v>
      </c>
      <c r="FD6" s="80">
        <f t="shared" si="25"/>
        <v>1.6915066864575037</v>
      </c>
      <c r="FE6" s="80">
        <f t="shared" si="25"/>
        <v>1.6815848226138326</v>
      </c>
      <c r="FF6" s="80">
        <f t="shared" si="25"/>
        <v>1.6748975786671649</v>
      </c>
      <c r="FG6" s="80">
        <f t="shared" si="25"/>
        <v>1.6674287780885173</v>
      </c>
      <c r="FH6" s="80">
        <f t="shared" si="25"/>
        <v>1.6599808317595905</v>
      </c>
      <c r="FI6" s="80">
        <f t="shared" si="25"/>
        <v>1.653612162569424</v>
      </c>
      <c r="FJ6" s="80">
        <f t="shared" si="25"/>
        <v>1.6411985294808642</v>
      </c>
      <c r="FK6" s="80">
        <f t="shared" si="25"/>
        <v>1.6364529142352411</v>
      </c>
      <c r="FL6" s="80">
        <f t="shared" si="25"/>
        <v>1.6285672125974493</v>
      </c>
      <c r="FM6" s="80">
        <f t="shared" si="25"/>
        <v>1.6186164700114056</v>
      </c>
      <c r="FN6" s="80">
        <f t="shared" si="25"/>
        <v>1.5993810502396322</v>
      </c>
      <c r="FO6" s="80">
        <f t="shared" si="25"/>
        <v>1.5854197834092223</v>
      </c>
      <c r="FP6" s="80">
        <f t="shared" si="25"/>
        <v>1.5728129997106404</v>
      </c>
      <c r="FQ6" s="80">
        <f t="shared" si="25"/>
        <v>1.5605224917502394</v>
      </c>
      <c r="FR6" s="80">
        <f t="shared" si="25"/>
        <v>1.5465166501742811</v>
      </c>
      <c r="FS6" s="80">
        <f t="shared" si="25"/>
        <v>1.5265568510509784</v>
      </c>
      <c r="FT6" s="80">
        <f t="shared" si="25"/>
        <v>1.5079976683055172</v>
      </c>
      <c r="FU6" s="80">
        <f t="shared" si="25"/>
        <v>1.4947753589033295</v>
      </c>
      <c r="FV6" s="80">
        <f t="shared" si="25"/>
        <v>1.48780949232482</v>
      </c>
      <c r="FW6" s="80">
        <f t="shared" si="25"/>
        <v>1.4813579616245964</v>
      </c>
      <c r="FX6" s="80">
        <f t="shared" si="25"/>
        <v>1.470241873195218</v>
      </c>
      <c r="FY6" s="80">
        <f t="shared" si="25"/>
        <v>1.4613809019482047</v>
      </c>
      <c r="FZ6" s="80">
        <f t="shared" si="25"/>
        <v>1.4545082787676553</v>
      </c>
      <c r="GA6" s="80">
        <f t="shared" si="25"/>
        <v>1.4427829207480647</v>
      </c>
      <c r="GB6" s="80">
        <f t="shared" si="25"/>
        <v>1.4294211046723668</v>
      </c>
      <c r="GC6" s="80">
        <f t="shared" si="25"/>
        <v>1.4245719607508649</v>
      </c>
      <c r="GD6" s="80">
        <f t="shared" si="25"/>
        <v>1.4129896106198898</v>
      </c>
      <c r="GE6" s="80">
        <f t="shared" si="25"/>
        <v>1.4017016130386084</v>
      </c>
      <c r="GF6" s="80">
        <f t="shared" si="25"/>
        <v>1.3930865016327303</v>
      </c>
      <c r="GG6" s="80">
        <f t="shared" si="25"/>
        <v>1.3873568452042404</v>
      </c>
      <c r="GH6" s="80">
        <f t="shared" si="25"/>
        <v>1.3837811734440741</v>
      </c>
      <c r="GI6" s="80">
        <f t="shared" si="25"/>
        <v>1.3780737963328749</v>
      </c>
      <c r="GJ6" s="80">
        <f t="shared" si="25"/>
        <v>1.3714337817439919</v>
      </c>
      <c r="GK6" s="80">
        <f t="shared" si="25"/>
        <v>1.3617506042664993</v>
      </c>
      <c r="GL6" s="80">
        <f t="shared" si="25"/>
        <v>1.3530443402077306</v>
      </c>
      <c r="GM6" s="80">
        <f t="shared" si="25"/>
        <v>1.3355278810994844</v>
      </c>
      <c r="GN6" s="80">
        <f t="shared" si="25"/>
        <v>1.3174517573918281</v>
      </c>
      <c r="GO6" s="80">
        <f t="shared" si="25"/>
        <v>1.3054633479823194</v>
      </c>
      <c r="GP6" s="80">
        <f t="shared" si="25"/>
        <v>1.2923966868671766</v>
      </c>
      <c r="GQ6" s="80">
        <f t="shared" si="25"/>
        <v>1.2825815860471739</v>
      </c>
      <c r="GR6" s="80">
        <f t="shared" si="25"/>
        <v>1.2825815860471739</v>
      </c>
      <c r="GS6" s="80">
        <f t="shared" si="25"/>
        <v>1.2823533507121025</v>
      </c>
      <c r="GT6" s="80">
        <f t="shared" ref="GT6:JE6" si="26">1/GT5-1</f>
        <v>1.2814407744023417</v>
      </c>
      <c r="GU6" s="80">
        <f t="shared" si="26"/>
        <v>1.2712202831282648</v>
      </c>
      <c r="GV6" s="80">
        <f t="shared" si="26"/>
        <v>1.2543129361074588</v>
      </c>
      <c r="GW6" s="80">
        <f t="shared" si="26"/>
        <v>1.2357561599796281</v>
      </c>
      <c r="GX6" s="80">
        <f t="shared" si="26"/>
        <v>1.2217590777895539</v>
      </c>
      <c r="GY6" s="80">
        <f t="shared" si="26"/>
        <v>1.2034702745111119</v>
      </c>
      <c r="GZ6" s="80">
        <f t="shared" si="26"/>
        <v>1.1859824151895952</v>
      </c>
      <c r="HA6" s="80">
        <f t="shared" si="26"/>
        <v>1.1688485119452281</v>
      </c>
      <c r="HB6" s="80">
        <f t="shared" si="26"/>
        <v>1.1522759868465098</v>
      </c>
      <c r="HC6" s="80">
        <f t="shared" si="26"/>
        <v>1.1422076110744599</v>
      </c>
      <c r="HD6" s="80">
        <f t="shared" si="26"/>
        <v>1.1389991124058509</v>
      </c>
      <c r="HE6" s="80">
        <f t="shared" si="26"/>
        <v>1.1355821809163844</v>
      </c>
      <c r="HF6" s="80">
        <f t="shared" si="26"/>
        <v>1.1277096551921733</v>
      </c>
      <c r="HG6" s="80">
        <f t="shared" si="26"/>
        <v>1.1164922462868527</v>
      </c>
      <c r="HH6" s="80">
        <f t="shared" si="26"/>
        <v>1.1074302960139928</v>
      </c>
      <c r="HI6" s="80">
        <f t="shared" si="26"/>
        <v>1.0965283486012662</v>
      </c>
      <c r="HJ6" s="80">
        <f t="shared" si="26"/>
        <v>1.0860978593047426</v>
      </c>
      <c r="HK6" s="80">
        <f t="shared" si="26"/>
        <v>1.0744807670094891</v>
      </c>
      <c r="HL6" s="80">
        <f t="shared" si="26"/>
        <v>1.0651874236032746</v>
      </c>
      <c r="HM6" s="80">
        <f t="shared" si="26"/>
        <v>1.0608596184046251</v>
      </c>
      <c r="HN6" s="80">
        <f t="shared" si="26"/>
        <v>1.0477539928503825</v>
      </c>
      <c r="HO6" s="80">
        <f t="shared" si="26"/>
        <v>1.0404085221705683</v>
      </c>
      <c r="HP6" s="80">
        <f t="shared" si="26"/>
        <v>1.0387775001704322</v>
      </c>
      <c r="HQ6" s="80">
        <f t="shared" si="26"/>
        <v>1.0300482925126278</v>
      </c>
      <c r="HR6" s="80">
        <f t="shared" si="26"/>
        <v>1.0217590802834655</v>
      </c>
      <c r="HS6" s="80">
        <f t="shared" si="26"/>
        <v>1.0103003681848119</v>
      </c>
      <c r="HT6" s="80">
        <f t="shared" si="26"/>
        <v>0.99850916411652468</v>
      </c>
      <c r="HU6" s="80">
        <f t="shared" si="26"/>
        <v>0.98658962635837422</v>
      </c>
      <c r="HV6" s="80">
        <f t="shared" si="26"/>
        <v>0.97101857957969462</v>
      </c>
      <c r="HW6" s="80">
        <f t="shared" si="26"/>
        <v>0.95421235334096233</v>
      </c>
      <c r="HX6" s="80">
        <f t="shared" si="26"/>
        <v>0.94255701127332236</v>
      </c>
      <c r="HY6" s="80">
        <f t="shared" si="26"/>
        <v>0.93346970366609172</v>
      </c>
      <c r="HZ6" s="80">
        <f t="shared" si="26"/>
        <v>0.9228937878330099</v>
      </c>
      <c r="IA6" s="80">
        <f t="shared" si="26"/>
        <v>0.91580530819269668</v>
      </c>
      <c r="IB6" s="80">
        <f t="shared" si="26"/>
        <v>0.91083713165040558</v>
      </c>
      <c r="IC6" s="80">
        <f t="shared" si="26"/>
        <v>0.91026405243467545</v>
      </c>
      <c r="ID6" s="80">
        <f t="shared" si="26"/>
        <v>0.90569039548551022</v>
      </c>
      <c r="IE6" s="80">
        <f t="shared" si="26"/>
        <v>0.89904374238715512</v>
      </c>
      <c r="IF6" s="80">
        <f t="shared" si="26"/>
        <v>0.88828054329039996</v>
      </c>
      <c r="IG6" s="80">
        <f t="shared" si="26"/>
        <v>0.87813859487805823</v>
      </c>
      <c r="IH6" s="80">
        <f t="shared" si="26"/>
        <v>0.86101723630406068</v>
      </c>
      <c r="II6" s="80">
        <f t="shared" si="26"/>
        <v>0.85083762934267582</v>
      </c>
      <c r="IJ6" s="80">
        <f t="shared" si="26"/>
        <v>0.83815436422949241</v>
      </c>
      <c r="IK6" s="80">
        <f t="shared" si="26"/>
        <v>0.8213975071635875</v>
      </c>
      <c r="IL6" s="80">
        <f t="shared" si="26"/>
        <v>0.80927536223660246</v>
      </c>
      <c r="IM6" s="80">
        <f t="shared" si="26"/>
        <v>0.80099080453573812</v>
      </c>
      <c r="IN6" s="80">
        <f t="shared" si="26"/>
        <v>0.79381554236627294</v>
      </c>
      <c r="IO6" s="80">
        <f t="shared" si="26"/>
        <v>0.79363617874839831</v>
      </c>
      <c r="IP6" s="80">
        <f t="shared" si="26"/>
        <v>0.78916327057196844</v>
      </c>
      <c r="IQ6" s="80">
        <f t="shared" si="26"/>
        <v>0.77902284038179226</v>
      </c>
      <c r="IR6" s="80">
        <f t="shared" si="26"/>
        <v>0.77158219516211135</v>
      </c>
      <c r="IS6" s="80">
        <f t="shared" si="26"/>
        <v>0.76259297100996037</v>
      </c>
      <c r="IT6" s="80">
        <f t="shared" si="26"/>
        <v>0.74895115202417162</v>
      </c>
      <c r="IU6" s="80">
        <f t="shared" si="26"/>
        <v>0.72752978271846258</v>
      </c>
      <c r="IV6" s="80">
        <f t="shared" si="26"/>
        <v>0.70670794577994744</v>
      </c>
      <c r="IW6" s="80">
        <f t="shared" si="26"/>
        <v>0.68447290345434975</v>
      </c>
      <c r="IX6" s="80">
        <f t="shared" si="26"/>
        <v>0.67259746147785693</v>
      </c>
      <c r="IY6" s="80">
        <f t="shared" si="26"/>
        <v>0.66031115890198189</v>
      </c>
      <c r="IZ6" s="80">
        <f t="shared" si="26"/>
        <v>0.64729750858416701</v>
      </c>
      <c r="JA6" s="80">
        <f t="shared" si="26"/>
        <v>0.63714719596915814</v>
      </c>
      <c r="JB6" s="80">
        <f t="shared" si="26"/>
        <v>0.63355337853637828</v>
      </c>
      <c r="JC6" s="80">
        <f t="shared" si="26"/>
        <v>0.62477956886450969</v>
      </c>
      <c r="JD6" s="80">
        <f t="shared" si="26"/>
        <v>0.61156473801280464</v>
      </c>
      <c r="JE6" s="80">
        <f t="shared" si="26"/>
        <v>0.59545068608336282</v>
      </c>
      <c r="JF6" s="80">
        <f t="shared" ref="JF6:LQ6" si="27">1/JF5-1</f>
        <v>0.58027999810158759</v>
      </c>
      <c r="JG6" s="80">
        <f t="shared" si="27"/>
        <v>0.56046212906249404</v>
      </c>
      <c r="JH6" s="80">
        <f t="shared" si="27"/>
        <v>0.54654323990336406</v>
      </c>
      <c r="JI6" s="80">
        <f t="shared" si="27"/>
        <v>0.53992157712174049</v>
      </c>
      <c r="JJ6" s="80">
        <f t="shared" si="27"/>
        <v>0.53058500856946678</v>
      </c>
      <c r="JK6" s="80">
        <f t="shared" si="27"/>
        <v>0.51873884557398964</v>
      </c>
      <c r="JL6" s="80">
        <f t="shared" si="27"/>
        <v>0.51344179927652167</v>
      </c>
      <c r="JM6" s="80">
        <f t="shared" si="27"/>
        <v>0.50561261368535781</v>
      </c>
      <c r="JN6" s="80">
        <f t="shared" si="27"/>
        <v>0.49901693915308454</v>
      </c>
      <c r="JO6" s="80">
        <f t="shared" si="27"/>
        <v>0.49781868420572017</v>
      </c>
      <c r="JP6" s="80">
        <f t="shared" si="27"/>
        <v>0.49393445462369856</v>
      </c>
      <c r="JQ6" s="80">
        <f t="shared" si="27"/>
        <v>0.49125020425603783</v>
      </c>
      <c r="JR6" s="80">
        <f t="shared" si="27"/>
        <v>0.4867898347517825</v>
      </c>
      <c r="JS6" s="80">
        <f t="shared" si="27"/>
        <v>0.4811614213506501</v>
      </c>
      <c r="JT6" s="80">
        <f t="shared" si="27"/>
        <v>0.47628966545464957</v>
      </c>
      <c r="JU6" s="80">
        <f t="shared" si="27"/>
        <v>0.47260814509191995</v>
      </c>
      <c r="JV6" s="80">
        <f t="shared" si="27"/>
        <v>0.47054937596556812</v>
      </c>
      <c r="JW6" s="80">
        <f t="shared" si="27"/>
        <v>0.46600476120582979</v>
      </c>
      <c r="JX6" s="80">
        <f t="shared" si="27"/>
        <v>0.46938434519978922</v>
      </c>
      <c r="JY6" s="80">
        <f t="shared" si="27"/>
        <v>0.46586626616100268</v>
      </c>
      <c r="JZ6" s="80">
        <f t="shared" si="27"/>
        <v>0.46308640199720807</v>
      </c>
      <c r="KA6" s="80">
        <f t="shared" si="27"/>
        <v>0.46074920327197288</v>
      </c>
      <c r="KB6" s="80">
        <f t="shared" si="27"/>
        <v>0.45463971646282886</v>
      </c>
      <c r="KC6" s="80">
        <f t="shared" si="27"/>
        <v>0.45057809778901992</v>
      </c>
      <c r="KD6" s="80">
        <f t="shared" si="27"/>
        <v>0.44422351432598561</v>
      </c>
      <c r="KE6" s="80">
        <f t="shared" si="27"/>
        <v>0.44004737693288054</v>
      </c>
      <c r="KF6" s="80">
        <f t="shared" si="27"/>
        <v>0.43545392437488051</v>
      </c>
      <c r="KG6" s="80">
        <f t="shared" si="27"/>
        <v>0.43416317751511713</v>
      </c>
      <c r="KH6" s="80">
        <f t="shared" si="27"/>
        <v>0.43101494463691581</v>
      </c>
      <c r="KI6" s="80">
        <f t="shared" si="27"/>
        <v>0.42531368987740636</v>
      </c>
      <c r="KJ6" s="80">
        <f t="shared" si="27"/>
        <v>0.40757820450069748</v>
      </c>
      <c r="KK6" s="80">
        <f t="shared" si="27"/>
        <v>0.4029484745347327</v>
      </c>
      <c r="KL6" s="80">
        <f t="shared" si="27"/>
        <v>0.40421226557374923</v>
      </c>
      <c r="KM6" s="80">
        <f t="shared" si="27"/>
        <v>0.39750424519680472</v>
      </c>
      <c r="KN6" s="80">
        <f t="shared" si="27"/>
        <v>0.391243648777307</v>
      </c>
      <c r="KO6" s="80">
        <f t="shared" si="27"/>
        <v>0.39417140873565182</v>
      </c>
      <c r="KP6" s="80">
        <f t="shared" si="27"/>
        <v>0.39208328380993684</v>
      </c>
      <c r="KQ6" s="80">
        <f t="shared" si="27"/>
        <v>0.38764282676429107</v>
      </c>
      <c r="KR6" s="80">
        <f t="shared" si="27"/>
        <v>0.38170151027012955</v>
      </c>
      <c r="KS6" s="80">
        <f t="shared" si="27"/>
        <v>0.37141589108697715</v>
      </c>
      <c r="KT6" s="80">
        <f t="shared" si="27"/>
        <v>0.36364312527292131</v>
      </c>
      <c r="KU6" s="80">
        <f t="shared" si="27"/>
        <v>0.36187269077491391</v>
      </c>
      <c r="KV6" s="80">
        <f t="shared" si="27"/>
        <v>0.36173651712320165</v>
      </c>
      <c r="KW6" s="80">
        <f t="shared" si="27"/>
        <v>0.35915412428705618</v>
      </c>
      <c r="KX6" s="80">
        <f t="shared" si="27"/>
        <v>0.35766069751978424</v>
      </c>
      <c r="KY6" s="80">
        <f t="shared" si="27"/>
        <v>0.35820397911142887</v>
      </c>
      <c r="KZ6" s="80">
        <f t="shared" si="27"/>
        <v>0.35684713197944951</v>
      </c>
      <c r="LA6" s="80">
        <f t="shared" si="27"/>
        <v>0.34996232412640471</v>
      </c>
      <c r="LB6" s="80">
        <f t="shared" si="27"/>
        <v>0.33461426013485407</v>
      </c>
      <c r="LC6" s="80">
        <f t="shared" si="27"/>
        <v>0.33181744350349662</v>
      </c>
      <c r="LD6" s="80">
        <f t="shared" si="27"/>
        <v>0.32849620299600657</v>
      </c>
      <c r="LE6" s="80">
        <f t="shared" si="27"/>
        <v>0.32756690616169371</v>
      </c>
      <c r="LF6" s="80">
        <f t="shared" si="27"/>
        <v>0.33169516116129372</v>
      </c>
      <c r="LG6" s="80">
        <f t="shared" si="27"/>
        <v>0.33677490580334646</v>
      </c>
      <c r="LH6" s="80">
        <f t="shared" si="27"/>
        <v>0.33330830421239432</v>
      </c>
      <c r="LI6" s="80">
        <f t="shared" si="27"/>
        <v>0.32852561200916131</v>
      </c>
      <c r="LJ6" s="80">
        <f t="shared" si="27"/>
        <v>0.32534478452629823</v>
      </c>
      <c r="LK6" s="80">
        <f t="shared" si="27"/>
        <v>0.31691651880594018</v>
      </c>
      <c r="LL6" s="80">
        <f t="shared" si="27"/>
        <v>0.30568760539950435</v>
      </c>
      <c r="LM6" s="80">
        <f t="shared" si="27"/>
        <v>0.29416949687729654</v>
      </c>
      <c r="LN6" s="80">
        <f t="shared" si="27"/>
        <v>0.27693092933132357</v>
      </c>
      <c r="LO6" s="80">
        <f t="shared" si="27"/>
        <v>0.27374656292401367</v>
      </c>
      <c r="LP6" s="80">
        <f t="shared" si="27"/>
        <v>0.26288574551260524</v>
      </c>
      <c r="LQ6" s="80">
        <f t="shared" si="27"/>
        <v>0.25124912861647197</v>
      </c>
      <c r="LR6" s="80">
        <f t="shared" ref="LR6:NJ6" si="28">1/LR5-1</f>
        <v>0.24738224366112238</v>
      </c>
      <c r="LS6" s="80">
        <f t="shared" si="28"/>
        <v>0.23711419583568616</v>
      </c>
      <c r="LT6" s="80">
        <f t="shared" si="28"/>
        <v>0.23059205792866422</v>
      </c>
      <c r="LU6" s="80">
        <f t="shared" si="28"/>
        <v>0.21889070714011893</v>
      </c>
      <c r="LV6" s="80">
        <f t="shared" si="28"/>
        <v>0.20837782010520378</v>
      </c>
      <c r="LW6" s="80">
        <f t="shared" si="28"/>
        <v>0.19452137218782495</v>
      </c>
      <c r="LX6" s="80">
        <f t="shared" si="28"/>
        <v>0.1797741947534075</v>
      </c>
      <c r="LY6" s="80">
        <f t="shared" si="28"/>
        <v>0.16867181253433117</v>
      </c>
      <c r="LZ6" s="80">
        <f t="shared" si="28"/>
        <v>0.16020233548528839</v>
      </c>
      <c r="MA6" s="80">
        <f t="shared" si="28"/>
        <v>0.15397089266489794</v>
      </c>
      <c r="MB6" s="80">
        <f t="shared" si="28"/>
        <v>0.14243232617057511</v>
      </c>
      <c r="MC6" s="80">
        <f t="shared" si="28"/>
        <v>0.12421996277364222</v>
      </c>
      <c r="MD6" s="80">
        <f t="shared" si="28"/>
        <v>0.11242822360344573</v>
      </c>
      <c r="ME6" s="80">
        <f t="shared" si="28"/>
        <v>0.10722426953662367</v>
      </c>
      <c r="MF6" s="80">
        <f t="shared" si="28"/>
        <v>9.9855239432426579E-2</v>
      </c>
      <c r="MG6" s="80">
        <f t="shared" si="28"/>
        <v>0.10738546056426346</v>
      </c>
      <c r="MH6" s="80">
        <f t="shared" si="28"/>
        <v>0.11138645179071016</v>
      </c>
      <c r="MI6" s="80">
        <f t="shared" si="28"/>
        <v>0.11461884644540188</v>
      </c>
      <c r="MJ6" s="80">
        <f t="shared" si="28"/>
        <v>0.10808116755681674</v>
      </c>
      <c r="MK6" s="80">
        <f t="shared" si="28"/>
        <v>0.10355658555603675</v>
      </c>
      <c r="ML6" s="80">
        <f t="shared" si="28"/>
        <v>9.6756694052908765E-2</v>
      </c>
      <c r="MM6" s="80">
        <f t="shared" si="28"/>
        <v>9.0974529048949426E-2</v>
      </c>
      <c r="MN6" s="80">
        <f t="shared" si="28"/>
        <v>8.1886680929144529E-2</v>
      </c>
      <c r="MO6" s="80">
        <f t="shared" si="28"/>
        <v>7.425943891286324E-2</v>
      </c>
      <c r="MP6" s="80">
        <f t="shared" si="28"/>
        <v>6.7746187171119354E-2</v>
      </c>
      <c r="MQ6" s="80">
        <f t="shared" si="28"/>
        <v>6.529600635649957E-2</v>
      </c>
      <c r="MR6" s="80">
        <f t="shared" si="28"/>
        <v>6.6148925496896993E-2</v>
      </c>
      <c r="MS6" s="80">
        <f t="shared" si="28"/>
        <v>6.4871080200656017E-2</v>
      </c>
      <c r="MT6" s="80">
        <f t="shared" si="28"/>
        <v>6.2427496957653483E-2</v>
      </c>
      <c r="MU6" s="80">
        <f t="shared" si="28"/>
        <v>5.9672348850641876E-2</v>
      </c>
      <c r="MV6" s="80">
        <f t="shared" si="28"/>
        <v>5.7135224312292454E-2</v>
      </c>
      <c r="MW6" s="80">
        <f t="shared" si="28"/>
        <v>5.4183510482940234E-2</v>
      </c>
      <c r="MX6" s="80">
        <f t="shared" si="28"/>
        <v>4.8312957918595911E-2</v>
      </c>
      <c r="MY6" s="80">
        <f t="shared" si="28"/>
        <v>4.3928458393343917E-2</v>
      </c>
      <c r="MZ6" s="80">
        <f t="shared" si="28"/>
        <v>3.5335176428983539E-2</v>
      </c>
      <c r="NA6" s="80">
        <f t="shared" si="28"/>
        <v>3.3681286370790042E-2</v>
      </c>
      <c r="NB6" s="80">
        <f t="shared" si="28"/>
        <v>2.9768167334917495E-2</v>
      </c>
      <c r="NC6" s="80">
        <f t="shared" si="28"/>
        <v>2.5052923885046319E-2</v>
      </c>
      <c r="ND6" s="80">
        <f t="shared" si="28"/>
        <v>2.2904823755160564E-2</v>
      </c>
      <c r="NE6" s="80">
        <f t="shared" si="28"/>
        <v>1.9032500254194673E-2</v>
      </c>
      <c r="NF6" s="80">
        <f t="shared" si="28"/>
        <v>1.9236347523699182E-2</v>
      </c>
      <c r="NG6" s="80">
        <f t="shared" si="28"/>
        <v>1.4771353568000078E-2</v>
      </c>
      <c r="NH6" s="80">
        <f t="shared" si="28"/>
        <v>9.1202800000000916E-3</v>
      </c>
      <c r="NI6" s="80">
        <f t="shared" si="28"/>
        <v>5.2000000000000934E-3</v>
      </c>
      <c r="NJ6" s="80">
        <f t="shared" si="28"/>
        <v>0</v>
      </c>
      <c r="NK6" s="80"/>
      <c r="NL6" s="80"/>
      <c r="NM6" s="80"/>
      <c r="NN6" s="80"/>
      <c r="NO6" s="80"/>
      <c r="NP6" s="80"/>
      <c r="NQ6" s="80"/>
      <c r="NR6" s="80"/>
      <c r="NS6" s="80"/>
      <c r="NT6" s="80"/>
      <c r="NU6" s="80"/>
      <c r="NV6" s="80"/>
      <c r="NW6" s="80"/>
      <c r="NX6" s="80"/>
      <c r="NY6" s="80"/>
      <c r="NZ6" s="80"/>
      <c r="OA6" s="80"/>
      <c r="OB6" s="80"/>
      <c r="OC6" s="80"/>
      <c r="OD6" s="80"/>
      <c r="OE6" s="80"/>
      <c r="OF6" s="80"/>
      <c r="OG6" s="80"/>
      <c r="OH6" s="80"/>
    </row>
    <row r="7" spans="1:399" s="81" customFormat="1">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2"/>
      <c r="HS7" s="82"/>
      <c r="HT7" s="82"/>
      <c r="HU7" s="82"/>
      <c r="HV7" s="82"/>
      <c r="HW7" s="82"/>
      <c r="HX7" s="82"/>
      <c r="HY7" s="82"/>
      <c r="HZ7" s="82"/>
      <c r="IA7" s="82"/>
      <c r="IB7" s="82"/>
      <c r="IC7" s="82"/>
      <c r="ID7" s="82"/>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2"/>
      <c r="NI7" s="82"/>
      <c r="NJ7" s="82"/>
    </row>
    <row r="8" spans="1:399" s="81" customFormat="1">
      <c r="A8" s="83">
        <v>45657</v>
      </c>
      <c r="LN8" s="84"/>
      <c r="LZ8" s="84"/>
      <c r="ML8" s="84"/>
      <c r="MM8" s="85"/>
      <c r="MN8" s="85"/>
      <c r="MO8" s="85"/>
      <c r="MP8" s="85"/>
      <c r="MQ8" s="85"/>
      <c r="MR8" s="85"/>
      <c r="MS8" s="85"/>
      <c r="MT8" s="85"/>
      <c r="MU8" s="85"/>
      <c r="MV8" s="85"/>
      <c r="MW8" s="85"/>
      <c r="MX8" s="8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B3E19-825E-48B4-A333-5E4546B696E9}">
  <sheetPr>
    <tabColor theme="2" tint="-0.499984740745262"/>
  </sheetPr>
  <dimension ref="A1"/>
  <sheetViews>
    <sheetView workbookViewId="0">
      <selection activeCell="Q35" sqref="Q35"/>
    </sheetView>
  </sheetViews>
  <sheetFormatPr defaultRowHeight="1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9B83C-7D99-4372-BBF2-1B67B907503B}">
  <sheetPr>
    <tabColor rgb="FF002B49"/>
  </sheetPr>
  <dimension ref="A1:AS34"/>
  <sheetViews>
    <sheetView showGridLines="0" topLeftCell="A18" zoomScaleNormal="100" workbookViewId="0">
      <selection activeCell="B31" sqref="B31"/>
    </sheetView>
  </sheetViews>
  <sheetFormatPr defaultColWidth="0" defaultRowHeight="0" customHeight="1" zeroHeight="1"/>
  <cols>
    <col min="1" max="1" width="4" style="275" customWidth="1"/>
    <col min="2" max="2" width="24.140625" style="275" customWidth="1"/>
    <col min="3" max="3" width="74.5703125" style="275" customWidth="1"/>
    <col min="4" max="4" width="73.85546875" style="275" customWidth="1"/>
    <col min="5" max="5" width="4.5703125" style="275" customWidth="1"/>
    <col min="6" max="45" width="0" style="275" hidden="1" customWidth="1"/>
    <col min="46" max="16384" width="8.140625" style="275" hidden="1"/>
  </cols>
  <sheetData>
    <row r="1" spans="1:43" s="4" customFormat="1" ht="25.5">
      <c r="A1" s="1"/>
      <c r="B1" s="2"/>
      <c r="C1" s="3" t="s">
        <v>537</v>
      </c>
      <c r="D1" s="3"/>
      <c r="E1" s="3"/>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s="10" customFormat="1" ht="12.75">
      <c r="A2" s="5"/>
      <c r="B2" s="6"/>
      <c r="C2" s="6"/>
      <c r="D2" s="6"/>
      <c r="E2" s="7"/>
      <c r="F2" s="8"/>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row>
    <row r="3" spans="1:43" ht="14.25"/>
    <row r="4" spans="1:43" ht="15">
      <c r="B4" s="276" t="s">
        <v>634</v>
      </c>
      <c r="C4"/>
      <c r="D4"/>
    </row>
    <row r="5" spans="1:43" ht="14.25">
      <c r="B5" s="277"/>
      <c r="C5" s="277"/>
      <c r="D5" s="277"/>
    </row>
    <row r="6" spans="1:43" ht="14.25">
      <c r="B6" s="276" t="s">
        <v>635</v>
      </c>
      <c r="C6" s="276" t="s">
        <v>538</v>
      </c>
      <c r="D6" s="276" t="s">
        <v>636</v>
      </c>
    </row>
    <row r="7" spans="1:43" ht="23.45" customHeight="1">
      <c r="B7" s="297" t="s">
        <v>537</v>
      </c>
      <c r="C7" s="297" t="s">
        <v>637</v>
      </c>
      <c r="D7" s="297" t="s">
        <v>638</v>
      </c>
    </row>
    <row r="8" spans="1:43" ht="23.45" customHeight="1">
      <c r="B8" s="297" t="s">
        <v>543</v>
      </c>
      <c r="C8" s="297" t="s">
        <v>639</v>
      </c>
      <c r="D8" s="297" t="s">
        <v>640</v>
      </c>
    </row>
    <row r="9" spans="1:43" ht="23.45" customHeight="1">
      <c r="B9" s="297" t="s">
        <v>633</v>
      </c>
      <c r="C9" s="297" t="s">
        <v>641</v>
      </c>
      <c r="D9" s="297" t="s">
        <v>640</v>
      </c>
    </row>
    <row r="10" spans="1:43" ht="23.45" customHeight="1">
      <c r="B10" s="297" t="s">
        <v>544</v>
      </c>
      <c r="C10" s="297" t="s">
        <v>642</v>
      </c>
      <c r="D10" s="297" t="s">
        <v>649</v>
      </c>
    </row>
    <row r="11" spans="1:43" ht="23.45" customHeight="1">
      <c r="B11" s="297" t="s">
        <v>539</v>
      </c>
      <c r="C11" s="297" t="s">
        <v>542</v>
      </c>
      <c r="D11" s="297" t="s">
        <v>649</v>
      </c>
    </row>
    <row r="12" spans="1:43" ht="23.45" customHeight="1">
      <c r="B12" s="297" t="s">
        <v>643</v>
      </c>
      <c r="C12" s="297" t="s">
        <v>644</v>
      </c>
      <c r="D12" s="297" t="s">
        <v>640</v>
      </c>
    </row>
    <row r="13" spans="1:43" ht="23.45" customHeight="1">
      <c r="B13" s="297" t="s">
        <v>645</v>
      </c>
      <c r="C13" s="297" t="s">
        <v>646</v>
      </c>
      <c r="D13" s="297" t="s">
        <v>640</v>
      </c>
    </row>
    <row r="14" spans="1:43" ht="23.45" customHeight="1">
      <c r="B14" s="297" t="s">
        <v>647</v>
      </c>
      <c r="C14" s="297" t="s">
        <v>648</v>
      </c>
      <c r="D14" s="297" t="s">
        <v>640</v>
      </c>
    </row>
    <row r="15" spans="1:43" ht="14.25">
      <c r="B15" s="277"/>
      <c r="C15" s="277"/>
      <c r="D15" s="277"/>
    </row>
    <row r="16" spans="1:43" ht="14.25">
      <c r="B16" s="276" t="s">
        <v>650</v>
      </c>
      <c r="C16" s="277"/>
      <c r="D16" s="277"/>
    </row>
    <row r="17" spans="2:4" ht="14.25"/>
    <row r="18" spans="2:4" ht="14.25">
      <c r="B18" s="276" t="s">
        <v>651</v>
      </c>
      <c r="C18" s="276" t="s">
        <v>658</v>
      </c>
      <c r="D18" s="276" t="s">
        <v>540</v>
      </c>
    </row>
    <row r="19" spans="2:4" ht="28.5">
      <c r="B19" s="298" t="s">
        <v>652</v>
      </c>
      <c r="C19" s="298" t="s">
        <v>659</v>
      </c>
      <c r="D19" s="297" t="s">
        <v>653</v>
      </c>
    </row>
    <row r="20" spans="2:4" ht="28.5">
      <c r="B20" s="299" t="s">
        <v>654</v>
      </c>
      <c r="C20" s="299" t="s">
        <v>660</v>
      </c>
      <c r="D20" s="297" t="s">
        <v>655</v>
      </c>
    </row>
    <row r="21" spans="2:4" ht="30">
      <c r="B21" s="297" t="s">
        <v>656</v>
      </c>
      <c r="C21" s="297" t="s">
        <v>661</v>
      </c>
      <c r="D21" s="297" t="s">
        <v>657</v>
      </c>
    </row>
    <row r="22" spans="2:4" ht="15">
      <c r="B22"/>
      <c r="C22"/>
    </row>
    <row r="23" spans="2:4" ht="15">
      <c r="B23" s="276" t="s">
        <v>662</v>
      </c>
      <c r="C23"/>
    </row>
    <row r="24" spans="2:4" ht="80.099999999999994" customHeight="1">
      <c r="B24" s="545" t="s">
        <v>663</v>
      </c>
      <c r="C24" s="546"/>
      <c r="D24" s="546"/>
    </row>
    <row r="25" spans="2:4" ht="18.600000000000001" customHeight="1">
      <c r="B25"/>
      <c r="C25"/>
    </row>
    <row r="26" spans="2:4" ht="18.600000000000001" customHeight="1">
      <c r="B26" s="276" t="s">
        <v>664</v>
      </c>
    </row>
    <row r="27" spans="2:4" ht="82.5" customHeight="1">
      <c r="B27" s="547" t="s">
        <v>665</v>
      </c>
      <c r="C27" s="548"/>
      <c r="D27" s="548"/>
    </row>
    <row r="28" spans="2:4" ht="18.600000000000001" customHeight="1"/>
    <row r="29" spans="2:4" ht="18.600000000000001" customHeight="1">
      <c r="B29" s="276" t="s">
        <v>666</v>
      </c>
    </row>
    <row r="30" spans="2:4" ht="47.45" customHeight="1">
      <c r="B30" s="547" t="s">
        <v>687</v>
      </c>
      <c r="C30" s="547"/>
      <c r="D30" s="547"/>
    </row>
    <row r="31" spans="2:4" ht="18.600000000000001" customHeight="1"/>
    <row r="32" spans="2:4" ht="8.4499999999999993" customHeight="1"/>
    <row r="33" ht="8.4499999999999993" customHeight="1"/>
    <row r="34" ht="8.4499999999999993" customHeight="1"/>
  </sheetData>
  <sheetProtection algorithmName="SHA-512" hashValue="ZHKJxQkzMFjyIYoAcOOm+UMECIeSWN21PRNRojBPeZOGckyEPHxHJKnkkyYC/7xy4uleKdgATOnJkXlB2eOBqA==" saltValue="VEdycTnOt1j/HGNNp7L+Gg==" spinCount="100000" sheet="1" objects="1" scenarios="1"/>
  <mergeCells count="3">
    <mergeCell ref="B24:D24"/>
    <mergeCell ref="B27:D27"/>
    <mergeCell ref="B30:D30"/>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DD26D-6354-4E45-8853-013369FDEA84}">
  <sheetPr>
    <tabColor theme="0" tint="-0.14999847407452621"/>
  </sheetPr>
  <dimension ref="B15:T45"/>
  <sheetViews>
    <sheetView zoomScale="92" zoomScaleNormal="92" workbookViewId="0">
      <selection activeCell="S20" sqref="S20"/>
    </sheetView>
  </sheetViews>
  <sheetFormatPr defaultRowHeight="15"/>
  <cols>
    <col min="12" max="12" width="11.85546875" bestFit="1" customWidth="1"/>
    <col min="17" max="17" width="11.5703125" customWidth="1"/>
    <col min="18" max="18" width="13.28515625" customWidth="1"/>
    <col min="19" max="19" width="11" customWidth="1"/>
  </cols>
  <sheetData>
    <row r="15" spans="2:2">
      <c r="B15" s="15" t="s">
        <v>50</v>
      </c>
    </row>
    <row r="18" spans="12:20">
      <c r="N18" t="s">
        <v>77</v>
      </c>
    </row>
    <row r="20" spans="12:20">
      <c r="M20" s="16"/>
      <c r="N20">
        <v>30</v>
      </c>
    </row>
    <row r="21" spans="12:20" s="169" customFormat="1" ht="42" customHeight="1">
      <c r="L21" s="168" t="s">
        <v>277</v>
      </c>
      <c r="M21" s="168" t="s">
        <v>278</v>
      </c>
      <c r="N21" s="168" t="s">
        <v>279</v>
      </c>
      <c r="O21" s="168" t="s">
        <v>280</v>
      </c>
      <c r="Q21" s="168" t="s">
        <v>281</v>
      </c>
      <c r="R21" s="168" t="s">
        <v>282</v>
      </c>
      <c r="S21" s="168"/>
      <c r="T21" s="168"/>
    </row>
    <row r="22" spans="12:20">
      <c r="L22" s="167">
        <f>14.37*10^9/250/(365*24*3600)</f>
        <v>1.8226788432267884</v>
      </c>
      <c r="M22" s="167">
        <f>AVERAGE(172,299)/250</f>
        <v>0.94199999999999995</v>
      </c>
      <c r="N22" s="167">
        <f>M22*$N$20</f>
        <v>28.259999999999998</v>
      </c>
      <c r="O22">
        <v>2022</v>
      </c>
      <c r="Q22" s="167" cm="1">
        <f t="array" ref="Q22" xml:space="preserve"> L22 * PRODUCT(1 + INDEX(Inflação!$B$1:$B$30,MATCH(O22+1,Inflação!$A$1:$A$30,0)):INDEX(Inflação!$B$1:$B$30,MATCH(2024,Inflação!$A$1:$A$30,0))/100)</f>
        <v>1.9989892288432267</v>
      </c>
      <c r="R22" s="167" cm="1">
        <f t="array" ref="R22" xml:space="preserve"> N22 * PRODUCT(1 + INDEX(Inflação!$B$1:$B$30,MATCH(O22+1,Inflação!$A$1:$A$30,0)):INDEX(Inflação!$B$1:$B$30,MATCH(2024,Inflação!$A$1:$A$30,0))/100)</f>
        <v>30.993631059599998</v>
      </c>
    </row>
    <row r="23" spans="12:20">
      <c r="L23" s="167">
        <f>47.34*10^9/450/(365*24*3600)</f>
        <v>3.3358701166920346</v>
      </c>
      <c r="M23" s="167">
        <f>AVERAGE(261,391)/450</f>
        <v>0.72444444444444445</v>
      </c>
      <c r="N23" s="167">
        <f t="shared" ref="N23:N32" si="0">M23*$N$20</f>
        <v>21.733333333333334</v>
      </c>
      <c r="O23">
        <v>2022</v>
      </c>
      <c r="Q23" s="167" cm="1">
        <f t="array" ref="Q23" xml:space="preserve"> L23 * PRODUCT(1 + INDEX(Inflação!$B$1:$B$30,MATCH(O23+1,Inflação!$A$1:$A$30,0)):INDEX(Inflação!$B$1:$B$30,MATCH(2024,Inflação!$A$1:$A$30,0))/100)</f>
        <v>3.6585537034500253</v>
      </c>
      <c r="R23" s="167" cm="1">
        <f t="array" ref="R23" xml:space="preserve"> N23 * PRODUCT(1 + INDEX(Inflação!$B$1:$B$30,MATCH(O23+1,Inflação!$A$1:$A$30,0)):INDEX(Inflação!$B$1:$B$30,MATCH(2024,Inflação!$A$1:$A$30,0))/100)</f>
        <v>23.835630397333333</v>
      </c>
    </row>
    <row r="24" spans="12:20">
      <c r="L24" s="167">
        <f>1.45*10^9/50/(365*24*3600)</f>
        <v>0.91958396752917304</v>
      </c>
      <c r="M24" s="167">
        <f>AVERAGE(15.22,19)/50</f>
        <v>0.3422</v>
      </c>
      <c r="N24" s="167">
        <f t="shared" si="0"/>
        <v>10.266</v>
      </c>
      <c r="O24">
        <v>2022</v>
      </c>
      <c r="Q24" s="167" cm="1">
        <f t="array" ref="Q24" xml:space="preserve"> L24 * PRODUCT(1 + INDEX(Inflação!$B$1:$B$30,MATCH(O24+1,Inflação!$A$1:$A$30,0)):INDEX(Inflação!$B$1:$B$30,MATCH(2024,Inflação!$A$1:$A$30,0))/100)</f>
        <v>1.0085366673008624</v>
      </c>
      <c r="R24" s="167" cm="1">
        <f t="array" ref="R24" xml:space="preserve"> N24 * PRODUCT(1 + INDEX(Inflação!$B$1:$B$30,MATCH(O24+1,Inflação!$A$1:$A$30,0)):INDEX(Inflação!$B$1:$B$30,MATCH(2024,Inflação!$A$1:$A$30,0))/100)</f>
        <v>11.25904516836</v>
      </c>
    </row>
    <row r="25" spans="12:20">
      <c r="L25" s="167">
        <f>3*10^9/100/(365*24*3600)</f>
        <v>0.9512937595129376</v>
      </c>
      <c r="M25" s="167">
        <f>24/100</f>
        <v>0.24</v>
      </c>
      <c r="N25" s="167">
        <f t="shared" si="0"/>
        <v>7.1999999999999993</v>
      </c>
      <c r="O25">
        <v>2022</v>
      </c>
      <c r="Q25" s="167" cm="1">
        <f t="array" ref="Q25" xml:space="preserve"> L25 * PRODUCT(1 + INDEX(Inflação!$B$1:$B$30,MATCH(O25+1,Inflação!$A$1:$A$30,0)):INDEX(Inflação!$B$1:$B$30,MATCH(2024,Inflação!$A$1:$A$30,0))/100)</f>
        <v>1.0433137937595129</v>
      </c>
      <c r="R25" s="167" cm="1">
        <f t="array" ref="R25" xml:space="preserve"> N25 * PRODUCT(1 + INDEX(Inflação!$B$1:$B$30,MATCH(O25+1,Inflação!$A$1:$A$30,0)):INDEX(Inflação!$B$1:$B$30,MATCH(2024,Inflação!$A$1:$A$30,0))/100)</f>
        <v>7.896466511999999</v>
      </c>
    </row>
    <row r="26" spans="12:20">
      <c r="L26" s="167">
        <f>5.4*10^9/250/(365*24*3600)</f>
        <v>0.68493150684931503</v>
      </c>
      <c r="M26" s="167">
        <f>35/200</f>
        <v>0.17499999999999999</v>
      </c>
      <c r="N26" s="167">
        <f t="shared" si="0"/>
        <v>5.25</v>
      </c>
      <c r="O26">
        <v>2022</v>
      </c>
      <c r="Q26" s="167" cm="1">
        <f t="array" ref="Q26" xml:space="preserve"> L26 * PRODUCT(1 + INDEX(Inflação!$B$1:$B$30,MATCH(O26+1,Inflação!$A$1:$A$30,0)):INDEX(Inflação!$B$1:$B$30,MATCH(2024,Inflação!$A$1:$A$30,0))/100)</f>
        <v>0.75118593150684931</v>
      </c>
      <c r="R26" s="167" cm="1">
        <f t="array" ref="R26" xml:space="preserve"> N26 * PRODUCT(1 + INDEX(Inflação!$B$1:$B$30,MATCH(O26+1,Inflação!$A$1:$A$30,0)):INDEX(Inflação!$B$1:$B$30,MATCH(2024,Inflação!$A$1:$A$30,0))/100)</f>
        <v>5.7578401650000002</v>
      </c>
    </row>
    <row r="27" spans="12:20">
      <c r="L27" s="167">
        <f>14*10^9/500/(365*24*3600)</f>
        <v>0.88787417554540837</v>
      </c>
      <c r="M27" s="167">
        <f>65/500</f>
        <v>0.13</v>
      </c>
      <c r="N27" s="167">
        <f t="shared" si="0"/>
        <v>3.9000000000000004</v>
      </c>
      <c r="O27">
        <v>2022</v>
      </c>
      <c r="Q27" s="167" cm="1">
        <f t="array" ref="Q27" xml:space="preserve"> L27 * PRODUCT(1 + INDEX(Inflação!$B$1:$B$30,MATCH(O27+1,Inflação!$A$1:$A$30,0)):INDEX(Inflação!$B$1:$B$30,MATCH(2024,Inflação!$A$1:$A$30,0))/100)</f>
        <v>0.97375954084221206</v>
      </c>
      <c r="R27" s="167" cm="1">
        <f t="array" ref="R27" xml:space="preserve"> N27 * PRODUCT(1 + INDEX(Inflação!$B$1:$B$30,MATCH(O27+1,Inflação!$A$1:$A$30,0)):INDEX(Inflação!$B$1:$B$30,MATCH(2024,Inflação!$A$1:$A$30,0))/100)</f>
        <v>4.2772526940000004</v>
      </c>
    </row>
    <row r="28" spans="12:20">
      <c r="L28" s="167">
        <f>0.5*10^9/68/(365*24*3600)</f>
        <v>0.23316023517473961</v>
      </c>
      <c r="M28" s="167">
        <f>5.5/68</f>
        <v>8.0882352941176475E-2</v>
      </c>
      <c r="N28" s="167">
        <f t="shared" si="0"/>
        <v>2.4264705882352944</v>
      </c>
      <c r="O28">
        <v>2022</v>
      </c>
      <c r="Q28" s="167" cm="1">
        <f t="array" ref="Q28" xml:space="preserve"> L28 * PRODUCT(1 + INDEX(Inflação!$B$1:$B$30,MATCH(O28+1,Inflação!$A$1:$A$30,0)):INDEX(Inflação!$B$1:$B$30,MATCH(2024,Inflação!$A$1:$A$30,0))/100)</f>
        <v>0.25571416513713552</v>
      </c>
      <c r="R28" s="167" cm="1">
        <f t="array" ref="R28" xml:space="preserve"> N28 * PRODUCT(1 + INDEX(Inflação!$B$1:$B$30,MATCH(O28+1,Inflação!$A$1:$A$30,0)):INDEX(Inflação!$B$1:$B$30,MATCH(2024,Inflação!$A$1:$A$30,0))/100)</f>
        <v>2.6611866308823533</v>
      </c>
    </row>
    <row r="29" spans="12:20">
      <c r="L29" s="167">
        <f>0.8*10^9/49/(365*24*3600)</f>
        <v>0.51771088953085043</v>
      </c>
      <c r="M29" s="167">
        <f>27.9/49</f>
        <v>0.56938775510204076</v>
      </c>
      <c r="N29" s="167">
        <f t="shared" si="0"/>
        <v>17.081632653061224</v>
      </c>
      <c r="O29">
        <v>2022</v>
      </c>
      <c r="Q29" s="167" cm="1">
        <f t="array" ref="Q29" xml:space="preserve"> L29 * PRODUCT(1 + INDEX(Inflação!$B$1:$B$30,MATCH(O29+1,Inflação!$A$1:$A$30,0)):INDEX(Inflação!$B$1:$B$30,MATCH(2024,Inflação!$A$1:$A$30,0))/100)</f>
        <v>0.5677898197330683</v>
      </c>
      <c r="R29" s="167" cm="1">
        <f t="array" ref="R29" xml:space="preserve"> N29 * PRODUCT(1 + INDEX(Inflação!$B$1:$B$30,MATCH(O29+1,Inflação!$A$1:$A$30,0)):INDEX(Inflação!$B$1:$B$30,MATCH(2024,Inflação!$A$1:$A$30,0))/100)</f>
        <v>18.733963918775508</v>
      </c>
    </row>
    <row r="30" spans="12:20">
      <c r="L30" s="167">
        <f>26.4*10^9/360/(365*24*3600)</f>
        <v>2.3253847454760694</v>
      </c>
      <c r="M30" s="167">
        <f>465/360</f>
        <v>1.2916666666666667</v>
      </c>
      <c r="N30" s="167">
        <f t="shared" si="0"/>
        <v>38.75</v>
      </c>
      <c r="O30">
        <v>2022</v>
      </c>
      <c r="Q30" s="167" cm="1">
        <f t="array" ref="Q30" xml:space="preserve"> L30 * PRODUCT(1 + INDEX(Inflação!$B$1:$B$30,MATCH(O30+1,Inflação!$A$1:$A$30,0)):INDEX(Inflação!$B$1:$B$30,MATCH(2024,Inflação!$A$1:$A$30,0))/100)</f>
        <v>2.5503226069676979</v>
      </c>
      <c r="R30" s="167" cm="1">
        <f t="array" ref="R30" xml:space="preserve"> N30 * PRODUCT(1 + INDEX(Inflação!$B$1:$B$30,MATCH(O30+1,Inflação!$A$1:$A$30,0)):INDEX(Inflação!$B$1:$B$30,MATCH(2024,Inflação!$A$1:$A$30,0))/100)</f>
        <v>42.498344074999999</v>
      </c>
    </row>
    <row r="31" spans="12:20">
      <c r="L31" s="167">
        <f>12.6*10^9/360/(365*24*3600)</f>
        <v>1.1098427194317606</v>
      </c>
      <c r="M31" s="167">
        <f>384/360</f>
        <v>1.0666666666666667</v>
      </c>
      <c r="N31" s="167">
        <f t="shared" si="0"/>
        <v>32</v>
      </c>
      <c r="O31">
        <v>2022</v>
      </c>
      <c r="Q31" s="167" cm="1">
        <f t="array" ref="Q31" xml:space="preserve"> L31 * PRODUCT(1 + INDEX(Inflação!$B$1:$B$30,MATCH(O31+1,Inflação!$A$1:$A$30,0)):INDEX(Inflação!$B$1:$B$30,MATCH(2024,Inflação!$A$1:$A$30,0))/100)</f>
        <v>1.2171994260527652</v>
      </c>
      <c r="R31" s="167" cm="1">
        <f t="array" ref="R31" xml:space="preserve"> N31 * PRODUCT(1 + INDEX(Inflação!$B$1:$B$30,MATCH(O31+1,Inflação!$A$1:$A$30,0)):INDEX(Inflação!$B$1:$B$30,MATCH(2024,Inflação!$A$1:$A$30,0))/100)</f>
        <v>35.09540672</v>
      </c>
    </row>
    <row r="32" spans="12:20">
      <c r="L32" s="167">
        <f>0.3*10^9/42/(365*24*3600)</f>
        <v>0.22649851416974703</v>
      </c>
      <c r="M32" s="167">
        <f>6.7/42</f>
        <v>0.15952380952380954</v>
      </c>
      <c r="N32" s="167">
        <f t="shared" si="0"/>
        <v>4.7857142857142865</v>
      </c>
      <c r="O32">
        <v>2022</v>
      </c>
      <c r="Q32" s="167" cm="1">
        <f t="array" ref="Q32" xml:space="preserve"> L32 * PRODUCT(1 + INDEX(Inflação!$B$1:$B$30,MATCH(O32+1,Inflação!$A$1:$A$30,0)):INDEX(Inflação!$B$1:$B$30,MATCH(2024,Inflação!$A$1:$A$30,0))/100)</f>
        <v>0.24840804613321735</v>
      </c>
      <c r="R32" s="167" cm="1">
        <f t="array" ref="R32" xml:space="preserve"> N32 * PRODUCT(1 + INDEX(Inflação!$B$1:$B$30,MATCH(O32+1,Inflação!$A$1:$A$30,0)):INDEX(Inflação!$B$1:$B$30,MATCH(2024,Inflação!$A$1:$A$30,0))/100)</f>
        <v>5.2486434157142865</v>
      </c>
    </row>
    <row r="33" spans="2:18">
      <c r="L33" s="166"/>
      <c r="N33" s="167"/>
      <c r="P33" t="s">
        <v>307</v>
      </c>
      <c r="Q33" s="167">
        <f>MEDIAN(Q22:Q32)</f>
        <v>1.0085366673008624</v>
      </c>
      <c r="R33" s="167">
        <f>MEDIAN(R22:R32)</f>
        <v>11.25904516836</v>
      </c>
    </row>
    <row r="34" spans="2:18">
      <c r="L34" s="166"/>
      <c r="P34" t="s">
        <v>308</v>
      </c>
      <c r="Q34" s="167">
        <f>AVERAGE(Q22:Q33)</f>
        <v>1.2735257997522862</v>
      </c>
      <c r="R34" s="167">
        <f>AVERAGE(R22:R33)</f>
        <v>16.626371327085458</v>
      </c>
    </row>
    <row r="35" spans="2:18">
      <c r="L35" s="166"/>
    </row>
    <row r="36" spans="2:18">
      <c r="L36" s="166"/>
    </row>
    <row r="37" spans="2:18">
      <c r="L37" s="166"/>
    </row>
    <row r="38" spans="2:18">
      <c r="L38" s="166"/>
    </row>
    <row r="45" spans="2:18">
      <c r="B45" t="s">
        <v>306</v>
      </c>
    </row>
  </sheetData>
  <hyperlinks>
    <hyperlink ref="B15" r:id="rId1" display="https://repositorio.ufsc.br/bitstream/handle/123456789/215008/PGEA0623-D.pdf?isAllowed=y&amp;sequence=-1&amp;utm_source=chatgpt.com" xr:uid="{BADC3F39-7BB1-4594-88B8-A59DB3BDDE9E}"/>
  </hyperlinks>
  <pageMargins left="0.511811024" right="0.511811024" top="0.78740157499999996" bottom="0.78740157499999996" header="0.31496062000000002" footer="0.31496062000000002"/>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B6B22-CE4A-4A02-9FF5-D0880F3AA329}">
  <sheetPr>
    <tabColor theme="0" tint="-0.14999847407452621"/>
  </sheetPr>
  <dimension ref="A1:AR63"/>
  <sheetViews>
    <sheetView showGridLines="0" zoomScale="93" zoomScaleNormal="93" workbookViewId="0">
      <selection activeCell="P41" sqref="P41"/>
    </sheetView>
  </sheetViews>
  <sheetFormatPr defaultRowHeight="15"/>
  <cols>
    <col min="2" max="2" width="29.42578125" bestFit="1" customWidth="1"/>
    <col min="3" max="3" width="15.42578125" bestFit="1" customWidth="1"/>
    <col min="4" max="4" width="11.28515625" customWidth="1"/>
    <col min="6" max="6" width="10.28515625" customWidth="1"/>
    <col min="7" max="7" width="14.28515625" customWidth="1"/>
    <col min="8" max="8" width="12.5703125" customWidth="1"/>
    <col min="11" max="11" width="14.5703125" customWidth="1"/>
    <col min="12" max="12" width="15.140625" customWidth="1"/>
  </cols>
  <sheetData>
    <row r="1" spans="1:44" s="47" customFormat="1" ht="25.5">
      <c r="A1" s="43"/>
      <c r="B1" s="44"/>
      <c r="C1" s="45"/>
      <c r="D1" s="46" t="s">
        <v>223</v>
      </c>
      <c r="E1" s="46"/>
      <c r="F1" s="46"/>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row>
    <row r="2" spans="1:44" s="53" customFormat="1" ht="12.75">
      <c r="A2" s="48"/>
      <c r="B2" s="49"/>
      <c r="C2" s="49"/>
      <c r="D2" s="49"/>
      <c r="E2" s="49"/>
      <c r="F2" s="50"/>
      <c r="G2" s="51"/>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4" spans="1:44">
      <c r="B4" s="19" t="s">
        <v>248</v>
      </c>
      <c r="K4" s="157" t="s">
        <v>283</v>
      </c>
    </row>
    <row r="5" spans="1:44" ht="42" customHeight="1">
      <c r="K5" s="171" t="s">
        <v>281</v>
      </c>
      <c r="L5" s="171" t="s">
        <v>282</v>
      </c>
    </row>
    <row r="6" spans="1:44">
      <c r="B6" s="59" t="s">
        <v>220</v>
      </c>
      <c r="C6" s="60" t="s">
        <v>8</v>
      </c>
      <c r="D6" s="66">
        <f>SUM(D7:D12)*1.1</f>
        <v>1.7661198719563165</v>
      </c>
      <c r="J6" t="s">
        <v>304</v>
      </c>
      <c r="K6" s="170">
        <v>1.9989892288432267</v>
      </c>
      <c r="L6" s="170">
        <v>30.993631059599998</v>
      </c>
    </row>
    <row r="7" spans="1:44">
      <c r="B7" s="37" t="s">
        <v>10</v>
      </c>
      <c r="C7" s="11" t="s">
        <v>8</v>
      </c>
      <c r="D7" s="68">
        <f>'Capex.Opex_Ref téc'!G87</f>
        <v>7.7563519960287486E-2</v>
      </c>
      <c r="F7" s="159"/>
      <c r="J7" t="s">
        <v>305</v>
      </c>
      <c r="K7" s="170">
        <v>3.6585537034500253</v>
      </c>
      <c r="L7" s="170">
        <v>23.835630397333333</v>
      </c>
    </row>
    <row r="8" spans="1:44">
      <c r="B8" s="37" t="s">
        <v>92</v>
      </c>
      <c r="C8" s="11" t="s">
        <v>8</v>
      </c>
      <c r="D8" s="68">
        <f>'Capex.Opex_Ref téc'!G72</f>
        <v>1.2000000000000004E-2</v>
      </c>
      <c r="J8" t="s">
        <v>309</v>
      </c>
      <c r="K8" s="170">
        <v>1.0085366673008624</v>
      </c>
      <c r="L8" s="170">
        <v>11.25904516836</v>
      </c>
    </row>
    <row r="9" spans="1:44">
      <c r="B9" s="37" t="s">
        <v>141</v>
      </c>
      <c r="C9" s="11" t="s">
        <v>8</v>
      </c>
      <c r="D9" s="68">
        <f>'Capex.Opex_Ref téc'!G73</f>
        <v>0.49200000000000005</v>
      </c>
      <c r="J9" t="s">
        <v>310</v>
      </c>
      <c r="K9" s="170">
        <v>1.0433137937595129</v>
      </c>
      <c r="L9" s="170">
        <v>7.896466511999999</v>
      </c>
    </row>
    <row r="10" spans="1:44">
      <c r="B10" s="37" t="s">
        <v>93</v>
      </c>
      <c r="C10" s="11" t="s">
        <v>8</v>
      </c>
      <c r="D10" s="68">
        <f>'Capex.Opex_Ref téc'!G74</f>
        <v>0.19200000000000006</v>
      </c>
      <c r="J10" t="s">
        <v>311</v>
      </c>
      <c r="K10" s="170">
        <v>0.75118593150684931</v>
      </c>
      <c r="L10" s="170">
        <v>5.7578401650000002</v>
      </c>
    </row>
    <row r="11" spans="1:44">
      <c r="B11" s="37" t="s">
        <v>97</v>
      </c>
      <c r="C11" s="11" t="s">
        <v>8</v>
      </c>
      <c r="D11" s="68">
        <f>'Capex.Opex_Ref téc'!G75</f>
        <v>0.13200000000000003</v>
      </c>
      <c r="J11" t="s">
        <v>312</v>
      </c>
      <c r="K11" s="170">
        <v>0.97375954084221206</v>
      </c>
      <c r="L11" s="170">
        <v>4.2772526940000004</v>
      </c>
    </row>
    <row r="12" spans="1:44">
      <c r="B12" s="37" t="s">
        <v>260</v>
      </c>
      <c r="C12" s="11" t="s">
        <v>8</v>
      </c>
      <c r="D12" s="68">
        <v>0.7</v>
      </c>
      <c r="J12" t="s">
        <v>313</v>
      </c>
      <c r="K12" s="170">
        <v>0.25571416513713552</v>
      </c>
      <c r="L12" s="170">
        <v>2.6611866308823533</v>
      </c>
    </row>
    <row r="13" spans="1:44">
      <c r="J13" t="s">
        <v>314</v>
      </c>
      <c r="K13" s="170">
        <v>0.5677898197330683</v>
      </c>
      <c r="L13" s="170">
        <v>18.733963918775508</v>
      </c>
    </row>
    <row r="14" spans="1:44">
      <c r="B14" s="59" t="s">
        <v>222</v>
      </c>
      <c r="C14" s="60"/>
      <c r="D14" s="66">
        <f>SUM(D15:D21)*1.1</f>
        <v>19886.806543755854</v>
      </c>
      <c r="E14" s="59"/>
      <c r="F14" t="s">
        <v>291</v>
      </c>
      <c r="G14" s="75">
        <v>30</v>
      </c>
      <c r="H14" t="s">
        <v>4</v>
      </c>
      <c r="J14" t="s">
        <v>315</v>
      </c>
      <c r="K14" s="170">
        <v>2.5503226069676979</v>
      </c>
      <c r="L14" s="170">
        <v>42.498344074999999</v>
      </c>
    </row>
    <row r="15" spans="1:44">
      <c r="B15" s="37" t="s">
        <v>255</v>
      </c>
      <c r="C15" s="11" t="s">
        <v>21</v>
      </c>
      <c r="D15" s="62">
        <f>'Capex.Opex_Ref téc'!H23*($G$14/'Capex.Opex_Ref téc'!E23)^0.6/1000</f>
        <v>4037.2980787571737</v>
      </c>
      <c r="E15" s="65">
        <v>23</v>
      </c>
      <c r="J15" t="s">
        <v>316</v>
      </c>
      <c r="K15" s="170">
        <v>1.2171994260527652</v>
      </c>
      <c r="L15" s="170">
        <v>35.09540672</v>
      </c>
    </row>
    <row r="16" spans="1:44">
      <c r="B16" s="37" t="s">
        <v>256</v>
      </c>
      <c r="C16" s="11" t="s">
        <v>21</v>
      </c>
      <c r="D16" s="62">
        <f>'Capex.Opex_Ref téc'!H21*($G$14/'Capex.Opex_Ref téc'!E21)^0.6/1000</f>
        <v>3313.7351290706565</v>
      </c>
      <c r="E16" s="65">
        <v>10</v>
      </c>
      <c r="J16" t="s">
        <v>317</v>
      </c>
      <c r="K16" s="170">
        <v>0.24840804613321735</v>
      </c>
      <c r="L16" s="170">
        <v>5.2486434157142865</v>
      </c>
    </row>
    <row r="17" spans="2:12">
      <c r="B17" s="37" t="s">
        <v>290</v>
      </c>
      <c r="C17" s="11" t="s">
        <v>21</v>
      </c>
      <c r="D17" s="62">
        <f>'Capex.Opex_Ref téc'!H22*($G$14/'Capex.Opex_Ref téc'!E22)^0.6/1000</f>
        <v>309.90827288233976</v>
      </c>
      <c r="E17" s="65">
        <v>10</v>
      </c>
    </row>
    <row r="18" spans="2:12">
      <c r="B18" s="37" t="s">
        <v>51</v>
      </c>
      <c r="C18" s="11" t="s">
        <v>21</v>
      </c>
      <c r="D18" s="62">
        <f>'Capex.Opex_Ref téc'!H15*($G$14/'Capex.Opex_Ref téc'!E15)^0.6/1000</f>
        <v>3027.9735590678793</v>
      </c>
      <c r="E18" s="65">
        <v>3</v>
      </c>
      <c r="J18" s="157" t="s">
        <v>285</v>
      </c>
      <c r="K18" s="170">
        <f>MEDIAN(K6:K16)</f>
        <v>1.0085366673008624</v>
      </c>
      <c r="L18" s="170">
        <f>MEDIAN(L6:L16)</f>
        <v>11.25904516836</v>
      </c>
    </row>
    <row r="19" spans="2:12">
      <c r="B19" s="61" t="s">
        <v>258</v>
      </c>
      <c r="C19" s="11" t="s">
        <v>21</v>
      </c>
      <c r="D19" s="62">
        <v>30</v>
      </c>
      <c r="E19" s="65">
        <v>5</v>
      </c>
      <c r="J19" s="157" t="s">
        <v>284</v>
      </c>
      <c r="K19" s="170">
        <f>AVERAGE(K6:K16)</f>
        <v>1.2976157208842338</v>
      </c>
      <c r="L19" s="170">
        <f>AVERAGE(L6:L16)</f>
        <v>17.114310068787773</v>
      </c>
    </row>
    <row r="20" spans="2:12">
      <c r="B20" s="128" t="s">
        <v>224</v>
      </c>
      <c r="C20" s="11" t="s">
        <v>21</v>
      </c>
      <c r="D20" s="62">
        <v>600</v>
      </c>
      <c r="E20" s="65">
        <v>10</v>
      </c>
    </row>
    <row r="21" spans="2:12">
      <c r="B21" s="128" t="s">
        <v>265</v>
      </c>
      <c r="C21" s="11" t="s">
        <v>21</v>
      </c>
      <c r="D21" s="62">
        <v>6760</v>
      </c>
      <c r="E21" s="65">
        <v>25</v>
      </c>
    </row>
    <row r="22" spans="2:12">
      <c r="G22" t="s">
        <v>146</v>
      </c>
    </row>
    <row r="23" spans="2:12">
      <c r="B23" t="s">
        <v>145</v>
      </c>
    </row>
    <row r="24" spans="2:12">
      <c r="G24" s="11" t="s">
        <v>303</v>
      </c>
      <c r="H24" s="21">
        <f>C63</f>
        <v>11.200000000000001</v>
      </c>
      <c r="I24" s="11" t="s">
        <v>8</v>
      </c>
    </row>
    <row r="25" spans="2:12" s="11" customFormat="1" ht="12.75">
      <c r="B25" s="172" t="s">
        <v>263</v>
      </c>
      <c r="C25" s="21">
        <v>9</v>
      </c>
      <c r="D25" s="11" t="s">
        <v>8</v>
      </c>
      <c r="G25" s="11" t="s">
        <v>263</v>
      </c>
      <c r="H25" s="21">
        <v>13</v>
      </c>
      <c r="I25" s="11" t="s">
        <v>8</v>
      </c>
    </row>
    <row r="26" spans="2:12" s="11" customFormat="1" ht="12.75">
      <c r="B26" s="11" t="s">
        <v>286</v>
      </c>
      <c r="C26" s="21">
        <f>-9.25%*C25</f>
        <v>-0.83250000000000002</v>
      </c>
      <c r="D26" s="11" t="s">
        <v>8</v>
      </c>
      <c r="G26" s="11" t="s">
        <v>286</v>
      </c>
      <c r="H26" s="21">
        <f>-9.25%*H25</f>
        <v>-1.2024999999999999</v>
      </c>
      <c r="I26" s="11" t="s">
        <v>8</v>
      </c>
    </row>
    <row r="27" spans="2:12" s="11" customFormat="1" ht="12.75">
      <c r="B27" s="11" t="s">
        <v>264</v>
      </c>
      <c r="C27" s="21">
        <f>C25+C26</f>
        <v>8.1675000000000004</v>
      </c>
      <c r="D27" s="11" t="s">
        <v>8</v>
      </c>
      <c r="G27" s="11" t="s">
        <v>264</v>
      </c>
      <c r="H27" s="21">
        <f>H25+H26</f>
        <v>11.797499999999999</v>
      </c>
      <c r="I27" s="11" t="s">
        <v>8</v>
      </c>
    </row>
    <row r="28" spans="2:12" s="11" customFormat="1" ht="12.75">
      <c r="B28" s="11" t="s">
        <v>261</v>
      </c>
      <c r="C28" s="21">
        <f>-D6</f>
        <v>-1.7661198719563165</v>
      </c>
      <c r="D28" s="11" t="s">
        <v>8</v>
      </c>
      <c r="G28" s="11" t="s">
        <v>261</v>
      </c>
      <c r="H28" s="21">
        <f>-D6-H24</f>
        <v>-12.966119871956318</v>
      </c>
      <c r="I28" s="11" t="s">
        <v>8</v>
      </c>
    </row>
    <row r="29" spans="2:12" s="11" customFormat="1" ht="12.75">
      <c r="B29" s="11" t="s">
        <v>262</v>
      </c>
      <c r="C29" s="21">
        <f>C27+C28</f>
        <v>6.4013801280436837</v>
      </c>
      <c r="D29" s="11" t="s">
        <v>8</v>
      </c>
      <c r="G29" s="11" t="s">
        <v>262</v>
      </c>
      <c r="H29" s="21">
        <f>H27+H28</f>
        <v>-1.1686198719563183</v>
      </c>
      <c r="I29" s="11" t="s">
        <v>8</v>
      </c>
    </row>
    <row r="30" spans="2:12" s="11" customFormat="1" ht="12.75">
      <c r="B30" s="11" t="s">
        <v>266</v>
      </c>
      <c r="C30" s="21">
        <f>-0.34*C29</f>
        <v>-2.1764692435348527</v>
      </c>
      <c r="D30" s="11" t="s">
        <v>8</v>
      </c>
      <c r="G30" s="11" t="s">
        <v>266</v>
      </c>
      <c r="H30" s="21">
        <f>-0.34*H29</f>
        <v>0.39733075646514826</v>
      </c>
      <c r="I30" s="11" t="s">
        <v>8</v>
      </c>
    </row>
    <row r="31" spans="2:12" s="11" customFormat="1" ht="12.75">
      <c r="B31" s="11" t="s">
        <v>287</v>
      </c>
      <c r="C31" s="21">
        <f>C29+C30</f>
        <v>4.224910884508831</v>
      </c>
      <c r="D31" s="11" t="s">
        <v>8</v>
      </c>
      <c r="G31" s="11" t="s">
        <v>287</v>
      </c>
      <c r="H31" s="21">
        <f>H29+H30</f>
        <v>-0.77128911549117007</v>
      </c>
      <c r="I31" s="11" t="s">
        <v>8</v>
      </c>
    </row>
    <row r="32" spans="2:12" s="11" customFormat="1" ht="12.75"/>
    <row r="33" spans="2:13" s="11" customFormat="1" ht="12.75">
      <c r="B33" s="11" t="s">
        <v>267</v>
      </c>
      <c r="C33" s="12">
        <v>0.15</v>
      </c>
      <c r="G33" s="11" t="s">
        <v>267</v>
      </c>
      <c r="H33" s="12">
        <v>0.15</v>
      </c>
    </row>
    <row r="34" spans="2:13" s="11" customFormat="1" ht="12.75">
      <c r="B34" s="11" t="s">
        <v>510</v>
      </c>
      <c r="C34" s="42">
        <f>C33*D14</f>
        <v>2983.020981563378</v>
      </c>
      <c r="G34" s="11" t="s">
        <v>267</v>
      </c>
      <c r="H34" s="42">
        <f>H33*D14</f>
        <v>2983.020981563378</v>
      </c>
    </row>
    <row r="35" spans="2:13" s="11" customFormat="1" ht="12.75">
      <c r="B35" s="11" t="s">
        <v>5</v>
      </c>
      <c r="C35" s="42">
        <f>C34/C31*1000</f>
        <v>706055.36142809573</v>
      </c>
      <c r="G35" s="11" t="s">
        <v>5</v>
      </c>
      <c r="H35" s="42">
        <f>H34/H31*1000</f>
        <v>-3867578.2163264928</v>
      </c>
    </row>
    <row r="36" spans="2:13" s="11" customFormat="1" ht="12.75">
      <c r="B36" s="11" t="s">
        <v>275</v>
      </c>
      <c r="C36" s="42">
        <f>C35/12</f>
        <v>58837.946785674641</v>
      </c>
      <c r="G36" s="11" t="s">
        <v>275</v>
      </c>
      <c r="H36" s="42">
        <f>H35/12</f>
        <v>-322298.18469387438</v>
      </c>
    </row>
    <row r="37" spans="2:13" s="11" customFormat="1" ht="12.75">
      <c r="B37" s="11" t="s">
        <v>4</v>
      </c>
      <c r="C37" s="136">
        <f>C35/(365*24*3600)*1000</f>
        <v>22.388868639906637</v>
      </c>
      <c r="G37" s="11" t="s">
        <v>4</v>
      </c>
      <c r="H37" s="136">
        <f>H35/(365*24*3600)*1000</f>
        <v>-122.64010072065236</v>
      </c>
    </row>
    <row r="38" spans="2:13" s="11" customFormat="1" ht="12.75">
      <c r="C38" s="136"/>
      <c r="H38" s="136"/>
      <c r="M38" s="11">
        <f>236*20%</f>
        <v>47.2</v>
      </c>
    </row>
    <row r="39" spans="2:13" s="11" customFormat="1">
      <c r="B39" s="64" t="s">
        <v>318</v>
      </c>
      <c r="C39" s="180">
        <v>3000</v>
      </c>
      <c r="D39" s="167">
        <f>C39/(30*24*3600)*1000</f>
        <v>1.1574074074074074</v>
      </c>
      <c r="E39" t="s">
        <v>4</v>
      </c>
      <c r="G39" t="s">
        <v>289</v>
      </c>
      <c r="H39" s="86">
        <v>300</v>
      </c>
      <c r="I39" s="167">
        <f>H39/(30*24*3600)*1000</f>
        <v>0.11574074074074074</v>
      </c>
      <c r="J39" t="s">
        <v>4</v>
      </c>
      <c r="K39" s="14">
        <f>H40/C40</f>
        <v>-54.777265744484602</v>
      </c>
    </row>
    <row r="40" spans="2:13" s="11" customFormat="1" ht="12.75">
      <c r="B40" s="11" t="s">
        <v>276</v>
      </c>
      <c r="C40" s="136">
        <f>C36/C39</f>
        <v>19.612648928558215</v>
      </c>
      <c r="G40" s="11" t="s">
        <v>276</v>
      </c>
      <c r="H40" s="136">
        <f>H36/H39</f>
        <v>-1074.3272823129146</v>
      </c>
    </row>
    <row r="41" spans="2:13" s="11" customFormat="1">
      <c r="C41" t="s">
        <v>288</v>
      </c>
    </row>
    <row r="42" spans="2:13" s="11" customFormat="1">
      <c r="C42" s="17">
        <f>200*3600*24*30/1000</f>
        <v>518400</v>
      </c>
      <c r="H42" s="11" t="s">
        <v>275</v>
      </c>
    </row>
    <row r="43" spans="2:13" ht="15.6" customHeight="1">
      <c r="B43" s="179" t="s">
        <v>300</v>
      </c>
    </row>
    <row r="45" spans="2:13">
      <c r="B45" s="179" t="s">
        <v>302</v>
      </c>
    </row>
    <row r="46" spans="2:13">
      <c r="B46" s="179" t="s">
        <v>301</v>
      </c>
      <c r="C46" s="23">
        <v>1.2</v>
      </c>
      <c r="D46" s="23"/>
    </row>
    <row r="47" spans="2:13">
      <c r="B47" s="173" t="s">
        <v>274</v>
      </c>
      <c r="C47" s="175">
        <v>9</v>
      </c>
      <c r="D47" s="11"/>
      <c r="E47">
        <v>100</v>
      </c>
      <c r="F47">
        <v>300</v>
      </c>
    </row>
    <row r="48" spans="2:13">
      <c r="B48" s="173" t="s">
        <v>268</v>
      </c>
      <c r="C48" s="176">
        <f>C47/1000</f>
        <v>8.9999999999999993E-3</v>
      </c>
      <c r="D48" s="11"/>
    </row>
    <row r="49" spans="2:7">
      <c r="B49" s="173" t="s">
        <v>269</v>
      </c>
      <c r="C49" s="177" t="s">
        <v>273</v>
      </c>
      <c r="D49" s="11"/>
    </row>
    <row r="50" spans="2:7">
      <c r="B50" s="173" t="s">
        <v>270</v>
      </c>
      <c r="C50" s="178">
        <f>SQRT(4*C48/($C$46*PI()))*1000</f>
        <v>97.72050238058398</v>
      </c>
      <c r="D50" s="11"/>
    </row>
    <row r="51" spans="2:7">
      <c r="B51" s="173" t="s">
        <v>271</v>
      </c>
      <c r="C51" s="23">
        <v>200</v>
      </c>
      <c r="D51" s="11"/>
    </row>
    <row r="52" spans="2:7">
      <c r="B52" s="173" t="s">
        <v>272</v>
      </c>
      <c r="C52" s="23">
        <v>200</v>
      </c>
      <c r="D52" s="11"/>
    </row>
    <row r="55" spans="2:7">
      <c r="B55" s="173" t="s">
        <v>259</v>
      </c>
    </row>
    <row r="56" spans="2:7">
      <c r="B56" s="173" t="s">
        <v>292</v>
      </c>
      <c r="C56">
        <v>13</v>
      </c>
      <c r="D56" t="s">
        <v>218</v>
      </c>
      <c r="F56" s="87">
        <f>C35*C57</f>
        <v>7060553.6142809577</v>
      </c>
      <c r="G56" s="87" t="s">
        <v>352</v>
      </c>
    </row>
    <row r="57" spans="2:7">
      <c r="B57" t="s">
        <v>293</v>
      </c>
      <c r="C57">
        <v>10</v>
      </c>
      <c r="D57" t="s">
        <v>156</v>
      </c>
      <c r="F57" s="87">
        <f>F56*C59</f>
        <v>7907820.0479946733</v>
      </c>
      <c r="G57" s="87" t="s">
        <v>254</v>
      </c>
    </row>
    <row r="58" spans="2:7">
      <c r="B58" t="s">
        <v>294</v>
      </c>
      <c r="C58" s="87">
        <f>C36/C56</f>
        <v>4525.9959065903568</v>
      </c>
      <c r="F58">
        <f>F57/C35</f>
        <v>11.200000000000001</v>
      </c>
      <c r="G58" t="s">
        <v>8</v>
      </c>
    </row>
    <row r="59" spans="2:7">
      <c r="B59" t="s">
        <v>319</v>
      </c>
      <c r="C59">
        <v>1.1200000000000001</v>
      </c>
      <c r="D59" t="s">
        <v>295</v>
      </c>
      <c r="F59" s="167"/>
    </row>
    <row r="60" spans="2:7">
      <c r="B60" t="s">
        <v>296</v>
      </c>
      <c r="C60">
        <f>C56*C57</f>
        <v>130</v>
      </c>
    </row>
    <row r="61" spans="2:7">
      <c r="B61" t="s">
        <v>297</v>
      </c>
      <c r="C61" s="87">
        <f>C58*C60</f>
        <v>588379.4678567464</v>
      </c>
    </row>
    <row r="62" spans="2:7">
      <c r="B62" t="s">
        <v>298</v>
      </c>
      <c r="C62" s="174">
        <f>C61*C59</f>
        <v>658985.00399955607</v>
      </c>
    </row>
    <row r="63" spans="2:7">
      <c r="B63" t="s">
        <v>299</v>
      </c>
      <c r="C63" s="159">
        <f>C62/C36</f>
        <v>11.200000000000001</v>
      </c>
      <c r="D63" t="s">
        <v>8</v>
      </c>
    </row>
  </sheetData>
  <autoFilter ref="K5:L16" xr:uid="{DD51376D-EFD8-4E8D-8B1E-1BB829B02DDB}"/>
  <pageMargins left="0.511811024" right="0.511811024" top="0.78740157499999996" bottom="0.78740157499999996" header="0.31496062000000002" footer="0.31496062000000002"/>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8010F-1E4F-444D-A22A-331E9E8638B4}">
  <dimension ref="A1:E146"/>
  <sheetViews>
    <sheetView workbookViewId="0">
      <selection activeCell="E127" sqref="E127"/>
    </sheetView>
  </sheetViews>
  <sheetFormatPr defaultRowHeight="15"/>
  <cols>
    <col min="5" max="5" width="11" customWidth="1"/>
  </cols>
  <sheetData>
    <row r="1" spans="1:2">
      <c r="A1">
        <v>146</v>
      </c>
      <c r="B1">
        <v>5</v>
      </c>
    </row>
    <row r="127" spans="5:5">
      <c r="E127" s="231"/>
    </row>
    <row r="146" spans="5:5">
      <c r="E146" s="228"/>
    </row>
  </sheetData>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8261A-AF7B-48CB-B1BD-9BADE0AFB7C9}">
  <dimension ref="A1:E146"/>
  <sheetViews>
    <sheetView workbookViewId="0">
      <selection activeCell="E127" sqref="E127"/>
    </sheetView>
  </sheetViews>
  <sheetFormatPr defaultRowHeight="15"/>
  <cols>
    <col min="5" max="5" width="11" customWidth="1"/>
  </cols>
  <sheetData>
    <row r="1" spans="1:2">
      <c r="A1">
        <v>146</v>
      </c>
      <c r="B1">
        <v>5</v>
      </c>
    </row>
    <row r="127" spans="5:5">
      <c r="E127" s="231"/>
    </row>
    <row r="146" spans="5:5">
      <c r="E146" s="228"/>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8295-A037-4792-BF91-6133577644B1}">
  <sheetPr>
    <tabColor theme="7" tint="0.79998168889431442"/>
  </sheetPr>
  <dimension ref="A1:E955"/>
  <sheetViews>
    <sheetView tabSelected="1" zoomScaleNormal="100" workbookViewId="0">
      <selection activeCell="C8" sqref="C8"/>
    </sheetView>
  </sheetViews>
  <sheetFormatPr defaultColWidth="12.5703125" defaultRowHeight="12.75"/>
  <cols>
    <col min="1" max="1" width="3.42578125" style="283" customWidth="1"/>
    <col min="2" max="2" width="27.85546875" style="283" customWidth="1"/>
    <col min="3" max="3" width="153.28515625" style="287" customWidth="1"/>
    <col min="4" max="4" width="25.85546875" style="283" bestFit="1" customWidth="1"/>
    <col min="5" max="5" width="3.85546875" style="283" customWidth="1"/>
    <col min="6" max="16384" width="12.5703125" style="283"/>
  </cols>
  <sheetData>
    <row r="1" spans="1:5" ht="27.6" customHeight="1">
      <c r="A1" s="279"/>
      <c r="B1" s="280"/>
      <c r="C1" s="281" t="s">
        <v>549</v>
      </c>
      <c r="D1" s="280"/>
      <c r="E1" s="282"/>
    </row>
    <row r="2" spans="1:5" s="303" customFormat="1" ht="20.100000000000001" customHeight="1">
      <c r="A2" s="300"/>
      <c r="B2" s="300"/>
      <c r="C2" s="301"/>
      <c r="D2" s="302" t="s">
        <v>550</v>
      </c>
      <c r="E2" s="300"/>
    </row>
    <row r="3" spans="1:5" s="303" customFormat="1" ht="26.1" customHeight="1">
      <c r="A3" s="300"/>
      <c r="B3" s="304" t="s">
        <v>551</v>
      </c>
      <c r="C3" s="305" t="s">
        <v>552</v>
      </c>
      <c r="D3" s="306" t="s">
        <v>631</v>
      </c>
      <c r="E3" s="300"/>
    </row>
    <row r="4" spans="1:5" s="303" customFormat="1" ht="45" customHeight="1">
      <c r="A4" s="300"/>
      <c r="B4" s="549" t="s">
        <v>632</v>
      </c>
      <c r="C4" s="307" t="s">
        <v>682</v>
      </c>
      <c r="D4" s="308"/>
      <c r="E4" s="300"/>
    </row>
    <row r="5" spans="1:5" s="303" customFormat="1" ht="42.6" customHeight="1">
      <c r="A5" s="300"/>
      <c r="B5" s="550"/>
      <c r="C5" s="307" t="s">
        <v>683</v>
      </c>
      <c r="D5" s="308"/>
      <c r="E5" s="300"/>
    </row>
    <row r="6" spans="1:5" s="303" customFormat="1" ht="35.1" customHeight="1">
      <c r="A6" s="300"/>
      <c r="B6" s="550"/>
      <c r="C6" s="307" t="s">
        <v>684</v>
      </c>
      <c r="D6" s="308"/>
      <c r="E6" s="300"/>
    </row>
    <row r="7" spans="1:5" s="303" customFormat="1" ht="47.1" customHeight="1">
      <c r="A7" s="300"/>
      <c r="B7" s="551"/>
      <c r="C7" s="307" t="s">
        <v>685</v>
      </c>
      <c r="D7" s="308"/>
      <c r="E7" s="300"/>
    </row>
    <row r="8" spans="1:5" s="303" customFormat="1" ht="25.5" customHeight="1">
      <c r="A8" s="300"/>
      <c r="B8" s="552" t="s">
        <v>553</v>
      </c>
      <c r="C8" s="307" t="s">
        <v>555</v>
      </c>
      <c r="D8" s="308"/>
      <c r="E8" s="300"/>
    </row>
    <row r="9" spans="1:5" s="303" customFormat="1" ht="26.1" customHeight="1">
      <c r="A9" s="300"/>
      <c r="B9" s="550"/>
      <c r="C9" s="307" t="s">
        <v>627</v>
      </c>
      <c r="D9" s="308"/>
      <c r="E9" s="300"/>
    </row>
    <row r="10" spans="1:5" s="303" customFormat="1" ht="24.95" customHeight="1">
      <c r="A10" s="300"/>
      <c r="B10" s="550"/>
      <c r="C10" s="307" t="s">
        <v>556</v>
      </c>
      <c r="D10" s="308"/>
      <c r="E10" s="300"/>
    </row>
    <row r="11" spans="1:5" s="303" customFormat="1" ht="42.95" customHeight="1">
      <c r="A11" s="300"/>
      <c r="B11" s="550"/>
      <c r="C11" s="309" t="s">
        <v>628</v>
      </c>
      <c r="D11" s="308"/>
      <c r="E11" s="300"/>
    </row>
    <row r="12" spans="1:5" s="303" customFormat="1" ht="41.45" customHeight="1">
      <c r="A12" s="300"/>
      <c r="B12" s="550"/>
      <c r="C12" s="310" t="s">
        <v>629</v>
      </c>
      <c r="D12" s="308"/>
      <c r="E12" s="300"/>
    </row>
    <row r="13" spans="1:5" s="303" customFormat="1" ht="46.5" customHeight="1">
      <c r="A13" s="300"/>
      <c r="B13" s="550"/>
      <c r="C13" s="310" t="s">
        <v>674</v>
      </c>
      <c r="D13" s="308"/>
      <c r="E13" s="300"/>
    </row>
    <row r="14" spans="1:5" s="303" customFormat="1" ht="51" customHeight="1">
      <c r="A14" s="300"/>
      <c r="B14" s="550"/>
      <c r="C14" s="310" t="s">
        <v>630</v>
      </c>
      <c r="D14" s="308"/>
      <c r="E14" s="300"/>
    </row>
    <row r="15" spans="1:5" s="303" customFormat="1" ht="80.099999999999994" customHeight="1">
      <c r="A15" s="300"/>
      <c r="B15" s="551"/>
      <c r="C15" s="310" t="s">
        <v>675</v>
      </c>
      <c r="D15" s="308"/>
      <c r="E15" s="300"/>
    </row>
    <row r="16" spans="1:5" s="303" customFormat="1" ht="44.1" customHeight="1">
      <c r="A16" s="300"/>
      <c r="B16" s="553" t="s">
        <v>554</v>
      </c>
      <c r="C16" s="310" t="s">
        <v>676</v>
      </c>
      <c r="D16" s="308"/>
      <c r="E16" s="300"/>
    </row>
    <row r="17" spans="1:5" s="303" customFormat="1" ht="44.1" customHeight="1">
      <c r="A17" s="300"/>
      <c r="B17" s="554"/>
      <c r="C17" s="310" t="s">
        <v>677</v>
      </c>
      <c r="D17" s="506"/>
      <c r="E17" s="300"/>
    </row>
    <row r="18" spans="1:5" s="303" customFormat="1" ht="14.25">
      <c r="A18" s="300"/>
      <c r="B18" s="311"/>
      <c r="C18" s="312"/>
      <c r="D18" s="300"/>
      <c r="E18" s="300"/>
    </row>
    <row r="19" spans="1:5">
      <c r="A19" s="282"/>
      <c r="B19" s="284"/>
      <c r="C19" s="285"/>
      <c r="D19" s="282"/>
      <c r="E19" s="282"/>
    </row>
    <row r="20" spans="1:5" ht="15">
      <c r="B20" s="286"/>
    </row>
    <row r="21" spans="1:5" ht="14.25">
      <c r="B21" s="288"/>
    </row>
    <row r="22" spans="1:5" ht="14.25">
      <c r="B22" s="288"/>
    </row>
    <row r="23" spans="1:5" ht="14.25">
      <c r="B23" s="288"/>
    </row>
    <row r="24" spans="1:5" ht="14.25">
      <c r="B24" s="288"/>
      <c r="D24" s="289"/>
    </row>
    <row r="25" spans="1:5" ht="15">
      <c r="B25" s="286"/>
    </row>
    <row r="26" spans="1:5" ht="14.25">
      <c r="B26" s="288"/>
    </row>
    <row r="27" spans="1:5" ht="14.25">
      <c r="B27" s="288"/>
    </row>
    <row r="28" spans="1:5" ht="14.25">
      <c r="B28" s="288"/>
    </row>
    <row r="29" spans="1:5" ht="14.25">
      <c r="B29" s="288"/>
    </row>
    <row r="30" spans="1:5" ht="15">
      <c r="B30" s="286"/>
    </row>
    <row r="31" spans="1:5" ht="14.25">
      <c r="B31" s="288"/>
    </row>
    <row r="32" spans="1:5" ht="14.25">
      <c r="B32" s="288"/>
    </row>
    <row r="33" spans="2:2" ht="14.25">
      <c r="B33" s="288"/>
    </row>
    <row r="34" spans="2:2" ht="14.25">
      <c r="B34" s="288"/>
    </row>
    <row r="35" spans="2:2">
      <c r="B35" s="290"/>
    </row>
    <row r="36" spans="2:2">
      <c r="B36" s="290"/>
    </row>
    <row r="37" spans="2:2">
      <c r="B37" s="290"/>
    </row>
    <row r="38" spans="2:2">
      <c r="B38" s="290"/>
    </row>
    <row r="39" spans="2:2">
      <c r="B39" s="290"/>
    </row>
    <row r="40" spans="2:2">
      <c r="B40" s="290"/>
    </row>
    <row r="41" spans="2:2">
      <c r="B41" s="290"/>
    </row>
    <row r="42" spans="2:2">
      <c r="B42" s="290"/>
    </row>
    <row r="43" spans="2:2">
      <c r="B43" s="290"/>
    </row>
    <row r="44" spans="2:2">
      <c r="B44" s="290"/>
    </row>
    <row r="45" spans="2:2">
      <c r="B45" s="290"/>
    </row>
    <row r="46" spans="2:2">
      <c r="B46" s="290"/>
    </row>
    <row r="47" spans="2:2">
      <c r="B47" s="290"/>
    </row>
    <row r="48" spans="2:2">
      <c r="B48" s="290"/>
    </row>
    <row r="49" spans="2:2">
      <c r="B49" s="290"/>
    </row>
    <row r="50" spans="2:2">
      <c r="B50" s="290"/>
    </row>
    <row r="51" spans="2:2">
      <c r="B51" s="290"/>
    </row>
    <row r="52" spans="2:2">
      <c r="B52" s="290"/>
    </row>
    <row r="53" spans="2:2">
      <c r="B53" s="290"/>
    </row>
    <row r="54" spans="2:2">
      <c r="B54" s="290"/>
    </row>
    <row r="55" spans="2:2">
      <c r="B55" s="290"/>
    </row>
    <row r="56" spans="2:2">
      <c r="B56" s="290"/>
    </row>
    <row r="57" spans="2:2">
      <c r="B57" s="290"/>
    </row>
    <row r="58" spans="2:2">
      <c r="B58" s="290"/>
    </row>
    <row r="59" spans="2:2">
      <c r="B59" s="290"/>
    </row>
    <row r="60" spans="2:2">
      <c r="B60" s="290"/>
    </row>
    <row r="61" spans="2:2">
      <c r="B61" s="290"/>
    </row>
    <row r="62" spans="2:2">
      <c r="B62" s="290"/>
    </row>
    <row r="63" spans="2:2">
      <c r="B63" s="290"/>
    </row>
    <row r="64" spans="2:2">
      <c r="B64" s="290"/>
    </row>
    <row r="65" spans="2:2">
      <c r="B65" s="290"/>
    </row>
    <row r="66" spans="2:2">
      <c r="B66" s="290"/>
    </row>
    <row r="67" spans="2:2">
      <c r="B67" s="290"/>
    </row>
    <row r="68" spans="2:2">
      <c r="B68" s="290"/>
    </row>
    <row r="69" spans="2:2">
      <c r="B69" s="290"/>
    </row>
    <row r="70" spans="2:2">
      <c r="B70" s="290"/>
    </row>
    <row r="71" spans="2:2">
      <c r="B71" s="290"/>
    </row>
    <row r="72" spans="2:2">
      <c r="B72" s="290"/>
    </row>
    <row r="73" spans="2:2">
      <c r="B73" s="290"/>
    </row>
    <row r="74" spans="2:2">
      <c r="B74" s="290"/>
    </row>
    <row r="75" spans="2:2">
      <c r="B75" s="290"/>
    </row>
    <row r="76" spans="2:2">
      <c r="B76" s="290"/>
    </row>
    <row r="77" spans="2:2">
      <c r="B77" s="290"/>
    </row>
    <row r="78" spans="2:2">
      <c r="B78" s="290"/>
    </row>
    <row r="79" spans="2:2">
      <c r="B79" s="290"/>
    </row>
    <row r="80" spans="2:2">
      <c r="B80" s="290"/>
    </row>
    <row r="81" spans="2:2">
      <c r="B81" s="290"/>
    </row>
    <row r="82" spans="2:2">
      <c r="B82" s="290"/>
    </row>
    <row r="83" spans="2:2">
      <c r="B83" s="290"/>
    </row>
    <row r="84" spans="2:2">
      <c r="B84" s="290"/>
    </row>
    <row r="85" spans="2:2">
      <c r="B85" s="290"/>
    </row>
    <row r="86" spans="2:2">
      <c r="B86" s="290"/>
    </row>
    <row r="87" spans="2:2">
      <c r="B87" s="290"/>
    </row>
    <row r="88" spans="2:2">
      <c r="B88" s="290"/>
    </row>
    <row r="89" spans="2:2">
      <c r="B89" s="290"/>
    </row>
    <row r="90" spans="2:2">
      <c r="B90" s="290"/>
    </row>
    <row r="91" spans="2:2">
      <c r="B91" s="290"/>
    </row>
    <row r="92" spans="2:2">
      <c r="B92" s="290"/>
    </row>
    <row r="93" spans="2:2">
      <c r="B93" s="290"/>
    </row>
    <row r="94" spans="2:2">
      <c r="B94" s="290"/>
    </row>
    <row r="95" spans="2:2">
      <c r="B95" s="290"/>
    </row>
    <row r="96" spans="2:2">
      <c r="B96" s="290"/>
    </row>
    <row r="97" spans="2:2">
      <c r="B97" s="290"/>
    </row>
    <row r="98" spans="2:2">
      <c r="B98" s="290"/>
    </row>
    <row r="99" spans="2:2">
      <c r="B99" s="290"/>
    </row>
    <row r="100" spans="2:2">
      <c r="B100" s="290"/>
    </row>
    <row r="101" spans="2:2">
      <c r="B101" s="290"/>
    </row>
    <row r="102" spans="2:2">
      <c r="B102" s="290"/>
    </row>
    <row r="103" spans="2:2">
      <c r="B103" s="290"/>
    </row>
    <row r="104" spans="2:2">
      <c r="B104" s="290"/>
    </row>
    <row r="105" spans="2:2">
      <c r="B105" s="290"/>
    </row>
    <row r="106" spans="2:2">
      <c r="B106" s="290"/>
    </row>
    <row r="107" spans="2:2">
      <c r="B107" s="290"/>
    </row>
    <row r="108" spans="2:2">
      <c r="B108" s="290"/>
    </row>
    <row r="109" spans="2:2">
      <c r="B109" s="290"/>
    </row>
    <row r="110" spans="2:2">
      <c r="B110" s="290"/>
    </row>
    <row r="111" spans="2:2">
      <c r="B111" s="290"/>
    </row>
    <row r="112" spans="2:2">
      <c r="B112" s="290"/>
    </row>
    <row r="113" spans="2:2">
      <c r="B113" s="290"/>
    </row>
    <row r="114" spans="2:2">
      <c r="B114" s="290"/>
    </row>
    <row r="115" spans="2:2">
      <c r="B115" s="290"/>
    </row>
    <row r="116" spans="2:2">
      <c r="B116" s="290"/>
    </row>
    <row r="117" spans="2:2">
      <c r="B117" s="290"/>
    </row>
    <row r="118" spans="2:2">
      <c r="B118" s="290"/>
    </row>
    <row r="119" spans="2:2">
      <c r="B119" s="290"/>
    </row>
    <row r="120" spans="2:2">
      <c r="B120" s="290"/>
    </row>
    <row r="121" spans="2:2">
      <c r="B121" s="290"/>
    </row>
    <row r="122" spans="2:2">
      <c r="B122" s="290"/>
    </row>
    <row r="123" spans="2:2">
      <c r="B123" s="290"/>
    </row>
    <row r="124" spans="2:2">
      <c r="B124" s="290"/>
    </row>
    <row r="125" spans="2:2">
      <c r="B125" s="290"/>
    </row>
    <row r="126" spans="2:2">
      <c r="B126" s="290"/>
    </row>
    <row r="127" spans="2:2">
      <c r="B127" s="290"/>
    </row>
    <row r="128" spans="2:2">
      <c r="B128" s="290"/>
    </row>
    <row r="129" spans="2:2">
      <c r="B129" s="290"/>
    </row>
    <row r="130" spans="2:2">
      <c r="B130" s="290"/>
    </row>
    <row r="131" spans="2:2">
      <c r="B131" s="290"/>
    </row>
    <row r="132" spans="2:2">
      <c r="B132" s="290"/>
    </row>
    <row r="133" spans="2:2">
      <c r="B133" s="290"/>
    </row>
    <row r="134" spans="2:2">
      <c r="B134" s="290"/>
    </row>
    <row r="135" spans="2:2">
      <c r="B135" s="290"/>
    </row>
    <row r="136" spans="2:2">
      <c r="B136" s="290"/>
    </row>
    <row r="137" spans="2:2">
      <c r="B137" s="290"/>
    </row>
    <row r="138" spans="2:2">
      <c r="B138" s="290"/>
    </row>
    <row r="139" spans="2:2">
      <c r="B139" s="290"/>
    </row>
    <row r="140" spans="2:2">
      <c r="B140" s="290"/>
    </row>
    <row r="141" spans="2:2">
      <c r="B141" s="290"/>
    </row>
    <row r="142" spans="2:2">
      <c r="B142" s="290"/>
    </row>
    <row r="143" spans="2:2">
      <c r="B143" s="290"/>
    </row>
    <row r="144" spans="2:2">
      <c r="B144" s="290"/>
    </row>
    <row r="145" spans="2:2">
      <c r="B145" s="290"/>
    </row>
    <row r="146" spans="2:2">
      <c r="B146" s="290"/>
    </row>
    <row r="147" spans="2:2">
      <c r="B147" s="290"/>
    </row>
    <row r="148" spans="2:2">
      <c r="B148" s="290"/>
    </row>
    <row r="149" spans="2:2">
      <c r="B149" s="290"/>
    </row>
    <row r="150" spans="2:2">
      <c r="B150" s="290"/>
    </row>
    <row r="151" spans="2:2">
      <c r="B151" s="290"/>
    </row>
    <row r="152" spans="2:2">
      <c r="B152" s="290"/>
    </row>
    <row r="153" spans="2:2">
      <c r="B153" s="290"/>
    </row>
    <row r="154" spans="2:2">
      <c r="B154" s="290"/>
    </row>
    <row r="155" spans="2:2">
      <c r="B155" s="290"/>
    </row>
    <row r="156" spans="2:2">
      <c r="B156" s="290"/>
    </row>
    <row r="157" spans="2:2">
      <c r="B157" s="290"/>
    </row>
    <row r="158" spans="2:2">
      <c r="B158" s="290"/>
    </row>
    <row r="159" spans="2:2">
      <c r="B159" s="290"/>
    </row>
    <row r="160" spans="2:2">
      <c r="B160" s="290"/>
    </row>
    <row r="161" spans="2:2">
      <c r="B161" s="290"/>
    </row>
    <row r="162" spans="2:2">
      <c r="B162" s="290"/>
    </row>
    <row r="163" spans="2:2">
      <c r="B163" s="290"/>
    </row>
    <row r="164" spans="2:2">
      <c r="B164" s="290"/>
    </row>
    <row r="165" spans="2:2">
      <c r="B165" s="290"/>
    </row>
    <row r="166" spans="2:2">
      <c r="B166" s="290"/>
    </row>
    <row r="167" spans="2:2">
      <c r="B167" s="290"/>
    </row>
    <row r="168" spans="2:2">
      <c r="B168" s="290"/>
    </row>
    <row r="169" spans="2:2">
      <c r="B169" s="290"/>
    </row>
    <row r="170" spans="2:2">
      <c r="B170" s="290"/>
    </row>
    <row r="171" spans="2:2">
      <c r="B171" s="290"/>
    </row>
    <row r="172" spans="2:2">
      <c r="B172" s="290"/>
    </row>
    <row r="173" spans="2:2">
      <c r="B173" s="290"/>
    </row>
    <row r="174" spans="2:2">
      <c r="B174" s="290"/>
    </row>
    <row r="175" spans="2:2">
      <c r="B175" s="290"/>
    </row>
    <row r="176" spans="2:2">
      <c r="B176" s="290"/>
    </row>
    <row r="177" spans="2:2">
      <c r="B177" s="290"/>
    </row>
    <row r="178" spans="2:2">
      <c r="B178" s="290"/>
    </row>
    <row r="179" spans="2:2">
      <c r="B179" s="290"/>
    </row>
    <row r="180" spans="2:2">
      <c r="B180" s="290"/>
    </row>
    <row r="181" spans="2:2">
      <c r="B181" s="290"/>
    </row>
    <row r="182" spans="2:2">
      <c r="B182" s="290"/>
    </row>
    <row r="183" spans="2:2">
      <c r="B183" s="290"/>
    </row>
    <row r="184" spans="2:2">
      <c r="B184" s="290"/>
    </row>
    <row r="185" spans="2:2">
      <c r="B185" s="290"/>
    </row>
    <row r="186" spans="2:2">
      <c r="B186" s="290"/>
    </row>
    <row r="187" spans="2:2">
      <c r="B187" s="290"/>
    </row>
    <row r="188" spans="2:2">
      <c r="B188" s="290"/>
    </row>
    <row r="189" spans="2:2">
      <c r="B189" s="290"/>
    </row>
    <row r="190" spans="2:2">
      <c r="B190" s="290"/>
    </row>
    <row r="191" spans="2:2">
      <c r="B191" s="290"/>
    </row>
    <row r="192" spans="2:2">
      <c r="B192" s="290"/>
    </row>
    <row r="193" spans="2:2">
      <c r="B193" s="290"/>
    </row>
    <row r="194" spans="2:2">
      <c r="B194" s="290"/>
    </row>
    <row r="195" spans="2:2">
      <c r="B195" s="290"/>
    </row>
    <row r="196" spans="2:2">
      <c r="B196" s="290"/>
    </row>
    <row r="197" spans="2:2">
      <c r="B197" s="290"/>
    </row>
    <row r="198" spans="2:2">
      <c r="B198" s="290"/>
    </row>
    <row r="199" spans="2:2">
      <c r="B199" s="290"/>
    </row>
    <row r="200" spans="2:2">
      <c r="B200" s="290"/>
    </row>
    <row r="201" spans="2:2">
      <c r="B201" s="290"/>
    </row>
    <row r="202" spans="2:2">
      <c r="B202" s="290"/>
    </row>
    <row r="203" spans="2:2">
      <c r="B203" s="290"/>
    </row>
    <row r="204" spans="2:2">
      <c r="B204" s="290"/>
    </row>
    <row r="205" spans="2:2">
      <c r="B205" s="290"/>
    </row>
    <row r="206" spans="2:2">
      <c r="B206" s="290"/>
    </row>
    <row r="207" spans="2:2">
      <c r="B207" s="290"/>
    </row>
    <row r="208" spans="2:2">
      <c r="B208" s="290"/>
    </row>
    <row r="209" spans="2:2">
      <c r="B209" s="290"/>
    </row>
    <row r="210" spans="2:2">
      <c r="B210" s="290"/>
    </row>
    <row r="211" spans="2:2">
      <c r="B211" s="290"/>
    </row>
    <row r="212" spans="2:2">
      <c r="B212" s="290"/>
    </row>
    <row r="213" spans="2:2">
      <c r="B213" s="290"/>
    </row>
    <row r="214" spans="2:2">
      <c r="B214" s="290"/>
    </row>
    <row r="215" spans="2:2">
      <c r="B215" s="290"/>
    </row>
    <row r="216" spans="2:2">
      <c r="B216" s="290"/>
    </row>
    <row r="217" spans="2:2">
      <c r="B217" s="290"/>
    </row>
    <row r="218" spans="2:2">
      <c r="B218" s="290"/>
    </row>
    <row r="219" spans="2:2">
      <c r="B219" s="290"/>
    </row>
    <row r="220" spans="2:2">
      <c r="B220" s="290"/>
    </row>
    <row r="221" spans="2:2">
      <c r="B221" s="290"/>
    </row>
    <row r="222" spans="2:2">
      <c r="B222" s="290"/>
    </row>
    <row r="223" spans="2:2">
      <c r="B223" s="290"/>
    </row>
    <row r="224" spans="2:2">
      <c r="B224" s="290"/>
    </row>
    <row r="225" spans="2:2">
      <c r="B225" s="290"/>
    </row>
    <row r="226" spans="2:2">
      <c r="B226" s="290"/>
    </row>
    <row r="227" spans="2:2">
      <c r="B227" s="290"/>
    </row>
    <row r="228" spans="2:2">
      <c r="B228" s="290"/>
    </row>
    <row r="229" spans="2:2">
      <c r="B229" s="290"/>
    </row>
    <row r="230" spans="2:2">
      <c r="B230" s="290"/>
    </row>
    <row r="231" spans="2:2">
      <c r="B231" s="290"/>
    </row>
    <row r="232" spans="2:2">
      <c r="B232" s="290"/>
    </row>
    <row r="233" spans="2:2">
      <c r="B233" s="290"/>
    </row>
    <row r="234" spans="2:2">
      <c r="B234" s="290"/>
    </row>
    <row r="235" spans="2:2">
      <c r="B235" s="290"/>
    </row>
    <row r="236" spans="2:2">
      <c r="B236" s="290"/>
    </row>
    <row r="237" spans="2:2">
      <c r="B237" s="290"/>
    </row>
    <row r="238" spans="2:2">
      <c r="B238" s="290"/>
    </row>
    <row r="239" spans="2:2">
      <c r="B239" s="290"/>
    </row>
    <row r="240" spans="2:2">
      <c r="B240" s="290"/>
    </row>
    <row r="241" spans="2:2">
      <c r="B241" s="290"/>
    </row>
    <row r="242" spans="2:2">
      <c r="B242" s="290"/>
    </row>
    <row r="243" spans="2:2">
      <c r="B243" s="290"/>
    </row>
    <row r="244" spans="2:2">
      <c r="B244" s="290"/>
    </row>
    <row r="245" spans="2:2">
      <c r="B245" s="290"/>
    </row>
    <row r="246" spans="2:2">
      <c r="B246" s="290"/>
    </row>
    <row r="247" spans="2:2">
      <c r="B247" s="290"/>
    </row>
    <row r="248" spans="2:2">
      <c r="B248" s="290"/>
    </row>
    <row r="249" spans="2:2">
      <c r="B249" s="290"/>
    </row>
    <row r="250" spans="2:2">
      <c r="B250" s="290"/>
    </row>
    <row r="251" spans="2:2">
      <c r="B251" s="290"/>
    </row>
    <row r="252" spans="2:2">
      <c r="B252" s="290"/>
    </row>
    <row r="253" spans="2:2">
      <c r="B253" s="290"/>
    </row>
    <row r="254" spans="2:2">
      <c r="B254" s="290"/>
    </row>
    <row r="255" spans="2:2">
      <c r="B255" s="290"/>
    </row>
    <row r="256" spans="2:2">
      <c r="B256" s="290"/>
    </row>
    <row r="257" spans="2:2">
      <c r="B257" s="290"/>
    </row>
    <row r="258" spans="2:2">
      <c r="B258" s="290"/>
    </row>
    <row r="259" spans="2:2">
      <c r="B259" s="290"/>
    </row>
    <row r="260" spans="2:2">
      <c r="B260" s="290"/>
    </row>
    <row r="261" spans="2:2">
      <c r="B261" s="290"/>
    </row>
    <row r="262" spans="2:2">
      <c r="B262" s="290"/>
    </row>
    <row r="263" spans="2:2">
      <c r="B263" s="290"/>
    </row>
    <row r="264" spans="2:2">
      <c r="B264" s="290"/>
    </row>
    <row r="265" spans="2:2">
      <c r="B265" s="290"/>
    </row>
    <row r="266" spans="2:2">
      <c r="B266" s="290"/>
    </row>
    <row r="267" spans="2:2">
      <c r="B267" s="290"/>
    </row>
    <row r="268" spans="2:2">
      <c r="B268" s="290"/>
    </row>
    <row r="269" spans="2:2">
      <c r="B269" s="290"/>
    </row>
    <row r="270" spans="2:2">
      <c r="B270" s="290"/>
    </row>
    <row r="271" spans="2:2">
      <c r="B271" s="290"/>
    </row>
    <row r="272" spans="2:2">
      <c r="B272" s="290"/>
    </row>
    <row r="273" spans="2:2">
      <c r="B273" s="290"/>
    </row>
    <row r="274" spans="2:2">
      <c r="B274" s="290"/>
    </row>
    <row r="275" spans="2:2">
      <c r="B275" s="290"/>
    </row>
    <row r="276" spans="2:2">
      <c r="B276" s="290"/>
    </row>
    <row r="277" spans="2:2">
      <c r="B277" s="290"/>
    </row>
    <row r="278" spans="2:2">
      <c r="B278" s="290"/>
    </row>
    <row r="279" spans="2:2">
      <c r="B279" s="290"/>
    </row>
    <row r="280" spans="2:2">
      <c r="B280" s="290"/>
    </row>
    <row r="281" spans="2:2">
      <c r="B281" s="290"/>
    </row>
    <row r="282" spans="2:2">
      <c r="B282" s="290"/>
    </row>
    <row r="283" spans="2:2">
      <c r="B283" s="290"/>
    </row>
    <row r="284" spans="2:2">
      <c r="B284" s="290"/>
    </row>
    <row r="285" spans="2:2">
      <c r="B285" s="290"/>
    </row>
    <row r="286" spans="2:2">
      <c r="B286" s="290"/>
    </row>
    <row r="287" spans="2:2">
      <c r="B287" s="290"/>
    </row>
    <row r="288" spans="2:2">
      <c r="B288" s="290"/>
    </row>
    <row r="289" spans="2:2">
      <c r="B289" s="290"/>
    </row>
    <row r="290" spans="2:2">
      <c r="B290" s="290"/>
    </row>
    <row r="291" spans="2:2">
      <c r="B291" s="290"/>
    </row>
    <row r="292" spans="2:2">
      <c r="B292" s="290"/>
    </row>
    <row r="293" spans="2:2">
      <c r="B293" s="290"/>
    </row>
    <row r="294" spans="2:2">
      <c r="B294" s="290"/>
    </row>
    <row r="295" spans="2:2">
      <c r="B295" s="290"/>
    </row>
    <row r="296" spans="2:2">
      <c r="B296" s="290"/>
    </row>
    <row r="297" spans="2:2">
      <c r="B297" s="290"/>
    </row>
    <row r="298" spans="2:2">
      <c r="B298" s="290"/>
    </row>
    <row r="299" spans="2:2">
      <c r="B299" s="290"/>
    </row>
    <row r="300" spans="2:2">
      <c r="B300" s="290"/>
    </row>
    <row r="301" spans="2:2">
      <c r="B301" s="290"/>
    </row>
    <row r="302" spans="2:2">
      <c r="B302" s="290"/>
    </row>
    <row r="303" spans="2:2">
      <c r="B303" s="290"/>
    </row>
    <row r="304" spans="2:2">
      <c r="B304" s="290"/>
    </row>
    <row r="305" spans="2:2">
      <c r="B305" s="290"/>
    </row>
    <row r="306" spans="2:2">
      <c r="B306" s="290"/>
    </row>
    <row r="307" spans="2:2">
      <c r="B307" s="290"/>
    </row>
    <row r="308" spans="2:2">
      <c r="B308" s="290"/>
    </row>
    <row r="309" spans="2:2">
      <c r="B309" s="290"/>
    </row>
    <row r="310" spans="2:2">
      <c r="B310" s="290"/>
    </row>
    <row r="311" spans="2:2">
      <c r="B311" s="290"/>
    </row>
    <row r="312" spans="2:2">
      <c r="B312" s="290"/>
    </row>
    <row r="313" spans="2:2">
      <c r="B313" s="290"/>
    </row>
    <row r="314" spans="2:2">
      <c r="B314" s="290"/>
    </row>
    <row r="315" spans="2:2">
      <c r="B315" s="290"/>
    </row>
    <row r="316" spans="2:2">
      <c r="B316" s="290"/>
    </row>
    <row r="317" spans="2:2">
      <c r="B317" s="290"/>
    </row>
    <row r="318" spans="2:2">
      <c r="B318" s="290"/>
    </row>
    <row r="319" spans="2:2">
      <c r="B319" s="290"/>
    </row>
    <row r="320" spans="2:2">
      <c r="B320" s="290"/>
    </row>
    <row r="321" spans="2:2">
      <c r="B321" s="290"/>
    </row>
    <row r="322" spans="2:2">
      <c r="B322" s="290"/>
    </row>
    <row r="323" spans="2:2">
      <c r="B323" s="290"/>
    </row>
    <row r="324" spans="2:2">
      <c r="B324" s="290"/>
    </row>
    <row r="325" spans="2:2">
      <c r="B325" s="290"/>
    </row>
    <row r="326" spans="2:2">
      <c r="B326" s="290"/>
    </row>
    <row r="327" spans="2:2">
      <c r="B327" s="290"/>
    </row>
    <row r="328" spans="2:2">
      <c r="B328" s="290"/>
    </row>
    <row r="329" spans="2:2">
      <c r="B329" s="290"/>
    </row>
    <row r="330" spans="2:2">
      <c r="B330" s="290"/>
    </row>
    <row r="331" spans="2:2">
      <c r="B331" s="290"/>
    </row>
    <row r="332" spans="2:2">
      <c r="B332" s="290"/>
    </row>
    <row r="333" spans="2:2">
      <c r="B333" s="290"/>
    </row>
    <row r="334" spans="2:2">
      <c r="B334" s="290"/>
    </row>
    <row r="335" spans="2:2">
      <c r="B335" s="290"/>
    </row>
    <row r="336" spans="2:2">
      <c r="B336" s="290"/>
    </row>
    <row r="337" spans="2:2">
      <c r="B337" s="290"/>
    </row>
    <row r="338" spans="2:2">
      <c r="B338" s="290"/>
    </row>
    <row r="339" spans="2:2">
      <c r="B339" s="290"/>
    </row>
    <row r="340" spans="2:2">
      <c r="B340" s="290"/>
    </row>
    <row r="341" spans="2:2">
      <c r="B341" s="290"/>
    </row>
    <row r="342" spans="2:2">
      <c r="B342" s="290"/>
    </row>
    <row r="343" spans="2:2">
      <c r="B343" s="290"/>
    </row>
    <row r="344" spans="2:2">
      <c r="B344" s="290"/>
    </row>
    <row r="345" spans="2:2">
      <c r="B345" s="290"/>
    </row>
    <row r="346" spans="2:2">
      <c r="B346" s="290"/>
    </row>
    <row r="347" spans="2:2">
      <c r="B347" s="290"/>
    </row>
    <row r="348" spans="2:2">
      <c r="B348" s="290"/>
    </row>
    <row r="349" spans="2:2">
      <c r="B349" s="290"/>
    </row>
    <row r="350" spans="2:2">
      <c r="B350" s="290"/>
    </row>
    <row r="351" spans="2:2">
      <c r="B351" s="290"/>
    </row>
    <row r="352" spans="2:2">
      <c r="B352" s="290"/>
    </row>
    <row r="353" spans="2:2">
      <c r="B353" s="290"/>
    </row>
    <row r="354" spans="2:2">
      <c r="B354" s="290"/>
    </row>
    <row r="355" spans="2:2">
      <c r="B355" s="290"/>
    </row>
    <row r="356" spans="2:2">
      <c r="B356" s="290"/>
    </row>
    <row r="357" spans="2:2">
      <c r="B357" s="290"/>
    </row>
    <row r="358" spans="2:2">
      <c r="B358" s="290"/>
    </row>
    <row r="359" spans="2:2">
      <c r="B359" s="290"/>
    </row>
    <row r="360" spans="2:2">
      <c r="B360" s="290"/>
    </row>
    <row r="361" spans="2:2">
      <c r="B361" s="290"/>
    </row>
    <row r="362" spans="2:2">
      <c r="B362" s="290"/>
    </row>
    <row r="363" spans="2:2">
      <c r="B363" s="290"/>
    </row>
    <row r="364" spans="2:2">
      <c r="B364" s="290"/>
    </row>
    <row r="365" spans="2:2">
      <c r="B365" s="290"/>
    </row>
    <row r="366" spans="2:2">
      <c r="B366" s="290"/>
    </row>
    <row r="367" spans="2:2">
      <c r="B367" s="290"/>
    </row>
    <row r="368" spans="2:2">
      <c r="B368" s="290"/>
    </row>
    <row r="369" spans="2:2">
      <c r="B369" s="290"/>
    </row>
    <row r="370" spans="2:2">
      <c r="B370" s="290"/>
    </row>
    <row r="371" spans="2:2">
      <c r="B371" s="290"/>
    </row>
    <row r="372" spans="2:2">
      <c r="B372" s="290"/>
    </row>
    <row r="373" spans="2:2">
      <c r="B373" s="290"/>
    </row>
    <row r="374" spans="2:2">
      <c r="B374" s="290"/>
    </row>
    <row r="375" spans="2:2">
      <c r="B375" s="290"/>
    </row>
    <row r="376" spans="2:2">
      <c r="B376" s="290"/>
    </row>
    <row r="377" spans="2:2">
      <c r="B377" s="290"/>
    </row>
    <row r="378" spans="2:2">
      <c r="B378" s="290"/>
    </row>
    <row r="379" spans="2:2">
      <c r="B379" s="290"/>
    </row>
    <row r="380" spans="2:2">
      <c r="B380" s="290"/>
    </row>
    <row r="381" spans="2:2">
      <c r="B381" s="290"/>
    </row>
    <row r="382" spans="2:2">
      <c r="B382" s="290"/>
    </row>
    <row r="383" spans="2:2">
      <c r="B383" s="290"/>
    </row>
    <row r="384" spans="2:2">
      <c r="B384" s="290"/>
    </row>
    <row r="385" spans="2:2">
      <c r="B385" s="290"/>
    </row>
    <row r="386" spans="2:2">
      <c r="B386" s="290"/>
    </row>
    <row r="387" spans="2:2">
      <c r="B387" s="290"/>
    </row>
    <row r="388" spans="2:2">
      <c r="B388" s="290"/>
    </row>
    <row r="389" spans="2:2">
      <c r="B389" s="290"/>
    </row>
    <row r="390" spans="2:2">
      <c r="B390" s="290"/>
    </row>
    <row r="391" spans="2:2">
      <c r="B391" s="290"/>
    </row>
    <row r="392" spans="2:2">
      <c r="B392" s="290"/>
    </row>
    <row r="393" spans="2:2">
      <c r="B393" s="290"/>
    </row>
    <row r="394" spans="2:2">
      <c r="B394" s="290"/>
    </row>
    <row r="395" spans="2:2">
      <c r="B395" s="290"/>
    </row>
    <row r="396" spans="2:2">
      <c r="B396" s="290"/>
    </row>
    <row r="397" spans="2:2">
      <c r="B397" s="290"/>
    </row>
    <row r="398" spans="2:2">
      <c r="B398" s="290"/>
    </row>
    <row r="399" spans="2:2">
      <c r="B399" s="290"/>
    </row>
    <row r="400" spans="2:2">
      <c r="B400" s="290"/>
    </row>
    <row r="401" spans="2:2">
      <c r="B401" s="290"/>
    </row>
    <row r="402" spans="2:2">
      <c r="B402" s="290"/>
    </row>
    <row r="403" spans="2:2">
      <c r="B403" s="290"/>
    </row>
    <row r="404" spans="2:2">
      <c r="B404" s="290"/>
    </row>
    <row r="405" spans="2:2">
      <c r="B405" s="290"/>
    </row>
    <row r="406" spans="2:2">
      <c r="B406" s="290"/>
    </row>
    <row r="407" spans="2:2">
      <c r="B407" s="290"/>
    </row>
    <row r="408" spans="2:2">
      <c r="B408" s="290"/>
    </row>
    <row r="409" spans="2:2">
      <c r="B409" s="290"/>
    </row>
    <row r="410" spans="2:2">
      <c r="B410" s="290"/>
    </row>
    <row r="411" spans="2:2">
      <c r="B411" s="290"/>
    </row>
    <row r="412" spans="2:2">
      <c r="B412" s="290"/>
    </row>
    <row r="413" spans="2:2">
      <c r="B413" s="290"/>
    </row>
    <row r="414" spans="2:2">
      <c r="B414" s="290"/>
    </row>
    <row r="415" spans="2:2">
      <c r="B415" s="290"/>
    </row>
    <row r="416" spans="2:2">
      <c r="B416" s="290"/>
    </row>
    <row r="417" spans="2:2">
      <c r="B417" s="290"/>
    </row>
    <row r="418" spans="2:2">
      <c r="B418" s="290"/>
    </row>
    <row r="419" spans="2:2">
      <c r="B419" s="290"/>
    </row>
    <row r="420" spans="2:2">
      <c r="B420" s="290"/>
    </row>
    <row r="421" spans="2:2">
      <c r="B421" s="290"/>
    </row>
    <row r="422" spans="2:2">
      <c r="B422" s="290"/>
    </row>
    <row r="423" spans="2:2">
      <c r="B423" s="290"/>
    </row>
    <row r="424" spans="2:2">
      <c r="B424" s="290"/>
    </row>
    <row r="425" spans="2:2">
      <c r="B425" s="290"/>
    </row>
    <row r="426" spans="2:2">
      <c r="B426" s="290"/>
    </row>
    <row r="427" spans="2:2">
      <c r="B427" s="290"/>
    </row>
    <row r="428" spans="2:2">
      <c r="B428" s="290"/>
    </row>
    <row r="429" spans="2:2">
      <c r="B429" s="290"/>
    </row>
    <row r="430" spans="2:2">
      <c r="B430" s="290"/>
    </row>
    <row r="431" spans="2:2">
      <c r="B431" s="290"/>
    </row>
    <row r="432" spans="2:2">
      <c r="B432" s="290"/>
    </row>
    <row r="433" spans="2:2">
      <c r="B433" s="290"/>
    </row>
    <row r="434" spans="2:2">
      <c r="B434" s="290"/>
    </row>
    <row r="435" spans="2:2">
      <c r="B435" s="290"/>
    </row>
    <row r="436" spans="2:2">
      <c r="B436" s="290"/>
    </row>
    <row r="437" spans="2:2">
      <c r="B437" s="290"/>
    </row>
    <row r="438" spans="2:2">
      <c r="B438" s="290"/>
    </row>
    <row r="439" spans="2:2">
      <c r="B439" s="290"/>
    </row>
    <row r="440" spans="2:2">
      <c r="B440" s="290"/>
    </row>
    <row r="441" spans="2:2">
      <c r="B441" s="290"/>
    </row>
    <row r="442" spans="2:2">
      <c r="B442" s="290"/>
    </row>
    <row r="443" spans="2:2">
      <c r="B443" s="290"/>
    </row>
    <row r="444" spans="2:2">
      <c r="B444" s="290"/>
    </row>
    <row r="445" spans="2:2">
      <c r="B445" s="290"/>
    </row>
    <row r="446" spans="2:2">
      <c r="B446" s="290"/>
    </row>
    <row r="447" spans="2:2">
      <c r="B447" s="290"/>
    </row>
    <row r="448" spans="2:2">
      <c r="B448" s="290"/>
    </row>
    <row r="449" spans="2:2">
      <c r="B449" s="290"/>
    </row>
    <row r="450" spans="2:2">
      <c r="B450" s="290"/>
    </row>
    <row r="451" spans="2:2">
      <c r="B451" s="290"/>
    </row>
    <row r="452" spans="2:2">
      <c r="B452" s="290"/>
    </row>
    <row r="453" spans="2:2">
      <c r="B453" s="290"/>
    </row>
    <row r="454" spans="2:2">
      <c r="B454" s="290"/>
    </row>
    <row r="455" spans="2:2">
      <c r="B455" s="290"/>
    </row>
    <row r="456" spans="2:2">
      <c r="B456" s="290"/>
    </row>
    <row r="457" spans="2:2">
      <c r="B457" s="290"/>
    </row>
    <row r="458" spans="2:2">
      <c r="B458" s="290"/>
    </row>
    <row r="459" spans="2:2">
      <c r="B459" s="290"/>
    </row>
    <row r="460" spans="2:2">
      <c r="B460" s="290"/>
    </row>
    <row r="461" spans="2:2">
      <c r="B461" s="290"/>
    </row>
    <row r="462" spans="2:2">
      <c r="B462" s="290"/>
    </row>
    <row r="463" spans="2:2">
      <c r="B463" s="290"/>
    </row>
    <row r="464" spans="2:2">
      <c r="B464" s="290"/>
    </row>
    <row r="465" spans="2:2">
      <c r="B465" s="290"/>
    </row>
    <row r="466" spans="2:2">
      <c r="B466" s="290"/>
    </row>
    <row r="467" spans="2:2">
      <c r="B467" s="290"/>
    </row>
    <row r="468" spans="2:2">
      <c r="B468" s="290"/>
    </row>
    <row r="469" spans="2:2">
      <c r="B469" s="290"/>
    </row>
    <row r="470" spans="2:2">
      <c r="B470" s="290"/>
    </row>
    <row r="471" spans="2:2">
      <c r="B471" s="290"/>
    </row>
    <row r="472" spans="2:2">
      <c r="B472" s="290"/>
    </row>
    <row r="473" spans="2:2">
      <c r="B473" s="290"/>
    </row>
    <row r="474" spans="2:2">
      <c r="B474" s="290"/>
    </row>
    <row r="475" spans="2:2">
      <c r="B475" s="290"/>
    </row>
    <row r="476" spans="2:2">
      <c r="B476" s="290"/>
    </row>
    <row r="477" spans="2:2">
      <c r="B477" s="290"/>
    </row>
    <row r="478" spans="2:2">
      <c r="B478" s="290"/>
    </row>
    <row r="479" spans="2:2">
      <c r="B479" s="290"/>
    </row>
    <row r="480" spans="2:2">
      <c r="B480" s="290"/>
    </row>
    <row r="481" spans="2:2">
      <c r="B481" s="290"/>
    </row>
    <row r="482" spans="2:2">
      <c r="B482" s="290"/>
    </row>
    <row r="483" spans="2:2">
      <c r="B483" s="290"/>
    </row>
    <row r="484" spans="2:2">
      <c r="B484" s="290"/>
    </row>
    <row r="485" spans="2:2">
      <c r="B485" s="290"/>
    </row>
    <row r="486" spans="2:2">
      <c r="B486" s="290"/>
    </row>
    <row r="487" spans="2:2">
      <c r="B487" s="290"/>
    </row>
    <row r="488" spans="2:2">
      <c r="B488" s="290"/>
    </row>
    <row r="489" spans="2:2">
      <c r="B489" s="290"/>
    </row>
    <row r="490" spans="2:2">
      <c r="B490" s="290"/>
    </row>
    <row r="491" spans="2:2">
      <c r="B491" s="290"/>
    </row>
    <row r="492" spans="2:2">
      <c r="B492" s="290"/>
    </row>
    <row r="493" spans="2:2">
      <c r="B493" s="290"/>
    </row>
    <row r="494" spans="2:2">
      <c r="B494" s="290"/>
    </row>
    <row r="495" spans="2:2">
      <c r="B495" s="290"/>
    </row>
    <row r="496" spans="2:2">
      <c r="B496" s="290"/>
    </row>
    <row r="497" spans="2:2">
      <c r="B497" s="290"/>
    </row>
    <row r="498" spans="2:2">
      <c r="B498" s="290"/>
    </row>
    <row r="499" spans="2:2">
      <c r="B499" s="290"/>
    </row>
    <row r="500" spans="2:2">
      <c r="B500" s="290"/>
    </row>
    <row r="501" spans="2:2">
      <c r="B501" s="290"/>
    </row>
    <row r="502" spans="2:2">
      <c r="B502" s="290"/>
    </row>
    <row r="503" spans="2:2">
      <c r="B503" s="290"/>
    </row>
    <row r="504" spans="2:2">
      <c r="B504" s="290"/>
    </row>
    <row r="505" spans="2:2">
      <c r="B505" s="290"/>
    </row>
    <row r="506" spans="2:2">
      <c r="B506" s="290"/>
    </row>
    <row r="507" spans="2:2">
      <c r="B507" s="290"/>
    </row>
    <row r="508" spans="2:2">
      <c r="B508" s="290"/>
    </row>
    <row r="509" spans="2:2">
      <c r="B509" s="290"/>
    </row>
    <row r="510" spans="2:2">
      <c r="B510" s="290"/>
    </row>
    <row r="511" spans="2:2">
      <c r="B511" s="290"/>
    </row>
    <row r="512" spans="2:2">
      <c r="B512" s="290"/>
    </row>
    <row r="513" spans="2:2">
      <c r="B513" s="290"/>
    </row>
    <row r="514" spans="2:2">
      <c r="B514" s="290"/>
    </row>
    <row r="515" spans="2:2">
      <c r="B515" s="290"/>
    </row>
    <row r="516" spans="2:2">
      <c r="B516" s="290"/>
    </row>
    <row r="517" spans="2:2">
      <c r="B517" s="290"/>
    </row>
    <row r="518" spans="2:2">
      <c r="B518" s="290"/>
    </row>
    <row r="519" spans="2:2">
      <c r="B519" s="290"/>
    </row>
    <row r="520" spans="2:2">
      <c r="B520" s="290"/>
    </row>
    <row r="521" spans="2:2">
      <c r="B521" s="290"/>
    </row>
    <row r="522" spans="2:2">
      <c r="B522" s="290"/>
    </row>
    <row r="523" spans="2:2">
      <c r="B523" s="290"/>
    </row>
    <row r="524" spans="2:2">
      <c r="B524" s="290"/>
    </row>
    <row r="525" spans="2:2">
      <c r="B525" s="290"/>
    </row>
    <row r="526" spans="2:2">
      <c r="B526" s="290"/>
    </row>
    <row r="527" spans="2:2">
      <c r="B527" s="290"/>
    </row>
    <row r="528" spans="2:2">
      <c r="B528" s="290"/>
    </row>
    <row r="529" spans="2:2">
      <c r="B529" s="290"/>
    </row>
    <row r="530" spans="2:2">
      <c r="B530" s="290"/>
    </row>
    <row r="531" spans="2:2">
      <c r="B531" s="290"/>
    </row>
    <row r="532" spans="2:2">
      <c r="B532" s="290"/>
    </row>
    <row r="533" spans="2:2">
      <c r="B533" s="290"/>
    </row>
    <row r="534" spans="2:2">
      <c r="B534" s="290"/>
    </row>
    <row r="535" spans="2:2">
      <c r="B535" s="290"/>
    </row>
    <row r="536" spans="2:2">
      <c r="B536" s="290"/>
    </row>
    <row r="537" spans="2:2">
      <c r="B537" s="290"/>
    </row>
    <row r="538" spans="2:2">
      <c r="B538" s="290"/>
    </row>
    <row r="539" spans="2:2">
      <c r="B539" s="290"/>
    </row>
    <row r="540" spans="2:2">
      <c r="B540" s="290"/>
    </row>
    <row r="541" spans="2:2">
      <c r="B541" s="290"/>
    </row>
    <row r="542" spans="2:2">
      <c r="B542" s="290"/>
    </row>
    <row r="543" spans="2:2">
      <c r="B543" s="290"/>
    </row>
    <row r="544" spans="2:2">
      <c r="B544" s="290"/>
    </row>
    <row r="545" spans="2:2">
      <c r="B545" s="290"/>
    </row>
    <row r="546" spans="2:2">
      <c r="B546" s="290"/>
    </row>
    <row r="547" spans="2:2">
      <c r="B547" s="290"/>
    </row>
    <row r="548" spans="2:2">
      <c r="B548" s="290"/>
    </row>
    <row r="549" spans="2:2">
      <c r="B549" s="290"/>
    </row>
    <row r="550" spans="2:2">
      <c r="B550" s="290"/>
    </row>
    <row r="551" spans="2:2">
      <c r="B551" s="290"/>
    </row>
    <row r="552" spans="2:2">
      <c r="B552" s="290"/>
    </row>
    <row r="553" spans="2:2">
      <c r="B553" s="290"/>
    </row>
    <row r="554" spans="2:2">
      <c r="B554" s="290"/>
    </row>
    <row r="555" spans="2:2">
      <c r="B555" s="290"/>
    </row>
    <row r="556" spans="2:2">
      <c r="B556" s="290"/>
    </row>
    <row r="557" spans="2:2">
      <c r="B557" s="290"/>
    </row>
    <row r="558" spans="2:2">
      <c r="B558" s="290"/>
    </row>
    <row r="559" spans="2:2">
      <c r="B559" s="290"/>
    </row>
    <row r="560" spans="2:2">
      <c r="B560" s="290"/>
    </row>
    <row r="561" spans="2:2">
      <c r="B561" s="290"/>
    </row>
    <row r="562" spans="2:2">
      <c r="B562" s="290"/>
    </row>
    <row r="563" spans="2:2">
      <c r="B563" s="290"/>
    </row>
    <row r="564" spans="2:2">
      <c r="B564" s="290"/>
    </row>
    <row r="565" spans="2:2">
      <c r="B565" s="290"/>
    </row>
    <row r="566" spans="2:2">
      <c r="B566" s="290"/>
    </row>
    <row r="567" spans="2:2">
      <c r="B567" s="290"/>
    </row>
    <row r="568" spans="2:2">
      <c r="B568" s="290"/>
    </row>
    <row r="569" spans="2:2">
      <c r="B569" s="290"/>
    </row>
    <row r="570" spans="2:2">
      <c r="B570" s="290"/>
    </row>
    <row r="571" spans="2:2">
      <c r="B571" s="290"/>
    </row>
    <row r="572" spans="2:2">
      <c r="B572" s="290"/>
    </row>
    <row r="573" spans="2:2">
      <c r="B573" s="290"/>
    </row>
    <row r="574" spans="2:2">
      <c r="B574" s="290"/>
    </row>
    <row r="575" spans="2:2">
      <c r="B575" s="290"/>
    </row>
    <row r="576" spans="2:2">
      <c r="B576" s="290"/>
    </row>
    <row r="577" spans="2:2">
      <c r="B577" s="290"/>
    </row>
    <row r="578" spans="2:2">
      <c r="B578" s="290"/>
    </row>
    <row r="579" spans="2:2">
      <c r="B579" s="290"/>
    </row>
    <row r="580" spans="2:2">
      <c r="B580" s="290"/>
    </row>
    <row r="581" spans="2:2">
      <c r="B581" s="290"/>
    </row>
    <row r="582" spans="2:2">
      <c r="B582" s="290"/>
    </row>
    <row r="583" spans="2:2">
      <c r="B583" s="290"/>
    </row>
    <row r="584" spans="2:2">
      <c r="B584" s="290"/>
    </row>
    <row r="585" spans="2:2">
      <c r="B585" s="290"/>
    </row>
    <row r="586" spans="2:2">
      <c r="B586" s="290"/>
    </row>
    <row r="587" spans="2:2">
      <c r="B587" s="290"/>
    </row>
    <row r="588" spans="2:2">
      <c r="B588" s="290"/>
    </row>
    <row r="589" spans="2:2">
      <c r="B589" s="290"/>
    </row>
    <row r="590" spans="2:2">
      <c r="B590" s="290"/>
    </row>
    <row r="591" spans="2:2">
      <c r="B591" s="290"/>
    </row>
    <row r="592" spans="2:2">
      <c r="B592" s="290"/>
    </row>
    <row r="593" spans="2:2">
      <c r="B593" s="290"/>
    </row>
    <row r="594" spans="2:2">
      <c r="B594" s="290"/>
    </row>
    <row r="595" spans="2:2">
      <c r="B595" s="290"/>
    </row>
    <row r="596" spans="2:2">
      <c r="B596" s="290"/>
    </row>
    <row r="597" spans="2:2">
      <c r="B597" s="290"/>
    </row>
    <row r="598" spans="2:2">
      <c r="B598" s="290"/>
    </row>
    <row r="599" spans="2:2">
      <c r="B599" s="290"/>
    </row>
    <row r="600" spans="2:2">
      <c r="B600" s="290"/>
    </row>
    <row r="601" spans="2:2">
      <c r="B601" s="290"/>
    </row>
    <row r="602" spans="2:2">
      <c r="B602" s="290"/>
    </row>
    <row r="603" spans="2:2">
      <c r="B603" s="290"/>
    </row>
    <row r="604" spans="2:2">
      <c r="B604" s="290"/>
    </row>
    <row r="605" spans="2:2">
      <c r="B605" s="290"/>
    </row>
    <row r="606" spans="2:2">
      <c r="B606" s="290"/>
    </row>
    <row r="607" spans="2:2">
      <c r="B607" s="290"/>
    </row>
    <row r="608" spans="2:2">
      <c r="B608" s="290"/>
    </row>
    <row r="609" spans="2:2">
      <c r="B609" s="290"/>
    </row>
    <row r="610" spans="2:2">
      <c r="B610" s="290"/>
    </row>
    <row r="611" spans="2:2">
      <c r="B611" s="290"/>
    </row>
    <row r="612" spans="2:2">
      <c r="B612" s="290"/>
    </row>
    <row r="613" spans="2:2">
      <c r="B613" s="290"/>
    </row>
    <row r="614" spans="2:2">
      <c r="B614" s="290"/>
    </row>
    <row r="615" spans="2:2">
      <c r="B615" s="290"/>
    </row>
    <row r="616" spans="2:2">
      <c r="B616" s="290"/>
    </row>
    <row r="617" spans="2:2">
      <c r="B617" s="290"/>
    </row>
    <row r="618" spans="2:2">
      <c r="B618" s="290"/>
    </row>
    <row r="619" spans="2:2">
      <c r="B619" s="290"/>
    </row>
    <row r="620" spans="2:2">
      <c r="B620" s="290"/>
    </row>
    <row r="621" spans="2:2">
      <c r="B621" s="290"/>
    </row>
    <row r="622" spans="2:2">
      <c r="B622" s="290"/>
    </row>
    <row r="623" spans="2:2">
      <c r="B623" s="290"/>
    </row>
    <row r="624" spans="2:2">
      <c r="B624" s="290"/>
    </row>
    <row r="625" spans="2:2">
      <c r="B625" s="290"/>
    </row>
    <row r="626" spans="2:2">
      <c r="B626" s="290"/>
    </row>
    <row r="627" spans="2:2">
      <c r="B627" s="290"/>
    </row>
    <row r="628" spans="2:2">
      <c r="B628" s="290"/>
    </row>
    <row r="629" spans="2:2">
      <c r="B629" s="290"/>
    </row>
    <row r="630" spans="2:2">
      <c r="B630" s="290"/>
    </row>
    <row r="631" spans="2:2">
      <c r="B631" s="290"/>
    </row>
    <row r="632" spans="2:2">
      <c r="B632" s="290"/>
    </row>
    <row r="633" spans="2:2">
      <c r="B633" s="290"/>
    </row>
    <row r="634" spans="2:2">
      <c r="B634" s="290"/>
    </row>
    <row r="635" spans="2:2">
      <c r="B635" s="290"/>
    </row>
    <row r="636" spans="2:2">
      <c r="B636" s="290"/>
    </row>
    <row r="637" spans="2:2">
      <c r="B637" s="290"/>
    </row>
    <row r="638" spans="2:2">
      <c r="B638" s="290"/>
    </row>
    <row r="639" spans="2:2">
      <c r="B639" s="290"/>
    </row>
    <row r="640" spans="2:2">
      <c r="B640" s="290"/>
    </row>
    <row r="641" spans="2:2">
      <c r="B641" s="290"/>
    </row>
    <row r="642" spans="2:2">
      <c r="B642" s="290"/>
    </row>
    <row r="643" spans="2:2">
      <c r="B643" s="290"/>
    </row>
    <row r="644" spans="2:2">
      <c r="B644" s="290"/>
    </row>
    <row r="645" spans="2:2">
      <c r="B645" s="290"/>
    </row>
    <row r="646" spans="2:2">
      <c r="B646" s="290"/>
    </row>
    <row r="647" spans="2:2">
      <c r="B647" s="290"/>
    </row>
    <row r="648" spans="2:2">
      <c r="B648" s="290"/>
    </row>
    <row r="649" spans="2:2">
      <c r="B649" s="290"/>
    </row>
    <row r="650" spans="2:2">
      <c r="B650" s="290"/>
    </row>
    <row r="651" spans="2:2">
      <c r="B651" s="290"/>
    </row>
    <row r="652" spans="2:2">
      <c r="B652" s="290"/>
    </row>
    <row r="653" spans="2:2">
      <c r="B653" s="290"/>
    </row>
    <row r="654" spans="2:2">
      <c r="B654" s="290"/>
    </row>
    <row r="655" spans="2:2">
      <c r="B655" s="290"/>
    </row>
    <row r="656" spans="2:2">
      <c r="B656" s="290"/>
    </row>
    <row r="657" spans="2:2">
      <c r="B657" s="290"/>
    </row>
    <row r="658" spans="2:2">
      <c r="B658" s="290"/>
    </row>
    <row r="659" spans="2:2">
      <c r="B659" s="290"/>
    </row>
    <row r="660" spans="2:2">
      <c r="B660" s="290"/>
    </row>
    <row r="661" spans="2:2">
      <c r="B661" s="290"/>
    </row>
    <row r="662" spans="2:2">
      <c r="B662" s="290"/>
    </row>
    <row r="663" spans="2:2">
      <c r="B663" s="290"/>
    </row>
    <row r="664" spans="2:2">
      <c r="B664" s="290"/>
    </row>
    <row r="665" spans="2:2">
      <c r="B665" s="290"/>
    </row>
    <row r="666" spans="2:2">
      <c r="B666" s="290"/>
    </row>
    <row r="667" spans="2:2">
      <c r="B667" s="290"/>
    </row>
    <row r="668" spans="2:2">
      <c r="B668" s="290"/>
    </row>
    <row r="669" spans="2:2">
      <c r="B669" s="290"/>
    </row>
    <row r="670" spans="2:2">
      <c r="B670" s="290"/>
    </row>
    <row r="671" spans="2:2">
      <c r="B671" s="290"/>
    </row>
    <row r="672" spans="2:2">
      <c r="B672" s="290"/>
    </row>
    <row r="673" spans="2:2">
      <c r="B673" s="290"/>
    </row>
    <row r="674" spans="2:2">
      <c r="B674" s="290"/>
    </row>
    <row r="675" spans="2:2">
      <c r="B675" s="290"/>
    </row>
    <row r="676" spans="2:2">
      <c r="B676" s="290"/>
    </row>
    <row r="677" spans="2:2">
      <c r="B677" s="290"/>
    </row>
    <row r="678" spans="2:2">
      <c r="B678" s="290"/>
    </row>
    <row r="679" spans="2:2">
      <c r="B679" s="290"/>
    </row>
    <row r="680" spans="2:2">
      <c r="B680" s="290"/>
    </row>
    <row r="681" spans="2:2">
      <c r="B681" s="290"/>
    </row>
    <row r="682" spans="2:2">
      <c r="B682" s="290"/>
    </row>
    <row r="683" spans="2:2">
      <c r="B683" s="290"/>
    </row>
    <row r="684" spans="2:2">
      <c r="B684" s="290"/>
    </row>
    <row r="685" spans="2:2">
      <c r="B685" s="290"/>
    </row>
    <row r="686" spans="2:2">
      <c r="B686" s="290"/>
    </row>
    <row r="687" spans="2:2">
      <c r="B687" s="290"/>
    </row>
    <row r="688" spans="2:2">
      <c r="B688" s="290"/>
    </row>
    <row r="689" spans="2:2">
      <c r="B689" s="290"/>
    </row>
    <row r="690" spans="2:2">
      <c r="B690" s="290"/>
    </row>
    <row r="691" spans="2:2">
      <c r="B691" s="290"/>
    </row>
    <row r="692" spans="2:2">
      <c r="B692" s="290"/>
    </row>
    <row r="693" spans="2:2">
      <c r="B693" s="290"/>
    </row>
    <row r="694" spans="2:2">
      <c r="B694" s="290"/>
    </row>
    <row r="695" spans="2:2">
      <c r="B695" s="290"/>
    </row>
    <row r="696" spans="2:2">
      <c r="B696" s="290"/>
    </row>
    <row r="697" spans="2:2">
      <c r="B697" s="290"/>
    </row>
    <row r="698" spans="2:2">
      <c r="B698" s="290"/>
    </row>
    <row r="699" spans="2:2">
      <c r="B699" s="290"/>
    </row>
    <row r="700" spans="2:2">
      <c r="B700" s="290"/>
    </row>
    <row r="701" spans="2:2">
      <c r="B701" s="290"/>
    </row>
    <row r="702" spans="2:2">
      <c r="B702" s="290"/>
    </row>
    <row r="703" spans="2:2">
      <c r="B703" s="290"/>
    </row>
    <row r="704" spans="2:2">
      <c r="B704" s="290"/>
    </row>
    <row r="705" spans="2:2">
      <c r="B705" s="290"/>
    </row>
    <row r="706" spans="2:2">
      <c r="B706" s="290"/>
    </row>
    <row r="707" spans="2:2">
      <c r="B707" s="290"/>
    </row>
    <row r="708" spans="2:2">
      <c r="B708" s="290"/>
    </row>
    <row r="709" spans="2:2">
      <c r="B709" s="290"/>
    </row>
    <row r="710" spans="2:2">
      <c r="B710" s="290"/>
    </row>
    <row r="711" spans="2:2">
      <c r="B711" s="290"/>
    </row>
    <row r="712" spans="2:2">
      <c r="B712" s="290"/>
    </row>
    <row r="713" spans="2:2">
      <c r="B713" s="290"/>
    </row>
    <row r="714" spans="2:2">
      <c r="B714" s="290"/>
    </row>
    <row r="715" spans="2:2">
      <c r="B715" s="290"/>
    </row>
    <row r="716" spans="2:2">
      <c r="B716" s="290"/>
    </row>
    <row r="717" spans="2:2">
      <c r="B717" s="290"/>
    </row>
    <row r="718" spans="2:2">
      <c r="B718" s="290"/>
    </row>
    <row r="719" spans="2:2">
      <c r="B719" s="290"/>
    </row>
    <row r="720" spans="2:2">
      <c r="B720" s="290"/>
    </row>
    <row r="721" spans="2:2">
      <c r="B721" s="290"/>
    </row>
    <row r="722" spans="2:2">
      <c r="B722" s="290"/>
    </row>
    <row r="723" spans="2:2">
      <c r="B723" s="290"/>
    </row>
    <row r="724" spans="2:2">
      <c r="B724" s="290"/>
    </row>
    <row r="725" spans="2:2">
      <c r="B725" s="290"/>
    </row>
    <row r="726" spans="2:2">
      <c r="B726" s="290"/>
    </row>
    <row r="727" spans="2:2">
      <c r="B727" s="290"/>
    </row>
    <row r="728" spans="2:2">
      <c r="B728" s="290"/>
    </row>
    <row r="729" spans="2:2">
      <c r="B729" s="290"/>
    </row>
    <row r="730" spans="2:2">
      <c r="B730" s="290"/>
    </row>
    <row r="731" spans="2:2">
      <c r="B731" s="290"/>
    </row>
    <row r="732" spans="2:2">
      <c r="B732" s="290"/>
    </row>
    <row r="733" spans="2:2">
      <c r="B733" s="290"/>
    </row>
    <row r="734" spans="2:2">
      <c r="B734" s="290"/>
    </row>
    <row r="735" spans="2:2">
      <c r="B735" s="290"/>
    </row>
    <row r="736" spans="2:2">
      <c r="B736" s="290"/>
    </row>
    <row r="737" spans="2:2">
      <c r="B737" s="290"/>
    </row>
    <row r="738" spans="2:2">
      <c r="B738" s="290"/>
    </row>
    <row r="739" spans="2:2">
      <c r="B739" s="290"/>
    </row>
    <row r="740" spans="2:2">
      <c r="B740" s="290"/>
    </row>
    <row r="741" spans="2:2">
      <c r="B741" s="290"/>
    </row>
    <row r="742" spans="2:2">
      <c r="B742" s="290"/>
    </row>
    <row r="743" spans="2:2">
      <c r="B743" s="290"/>
    </row>
    <row r="744" spans="2:2">
      <c r="B744" s="290"/>
    </row>
    <row r="745" spans="2:2">
      <c r="B745" s="290"/>
    </row>
    <row r="746" spans="2:2">
      <c r="B746" s="290"/>
    </row>
    <row r="747" spans="2:2">
      <c r="B747" s="290"/>
    </row>
    <row r="748" spans="2:2">
      <c r="B748" s="290"/>
    </row>
    <row r="749" spans="2:2">
      <c r="B749" s="290"/>
    </row>
    <row r="750" spans="2:2">
      <c r="B750" s="290"/>
    </row>
    <row r="751" spans="2:2">
      <c r="B751" s="290"/>
    </row>
    <row r="752" spans="2:2">
      <c r="B752" s="290"/>
    </row>
    <row r="753" spans="2:2">
      <c r="B753" s="290"/>
    </row>
    <row r="754" spans="2:2">
      <c r="B754" s="290"/>
    </row>
    <row r="755" spans="2:2">
      <c r="B755" s="290"/>
    </row>
    <row r="756" spans="2:2">
      <c r="B756" s="290"/>
    </row>
    <row r="757" spans="2:2">
      <c r="B757" s="290"/>
    </row>
    <row r="758" spans="2:2">
      <c r="B758" s="290"/>
    </row>
    <row r="759" spans="2:2">
      <c r="B759" s="290"/>
    </row>
    <row r="760" spans="2:2">
      <c r="B760" s="290"/>
    </row>
    <row r="761" spans="2:2">
      <c r="B761" s="290"/>
    </row>
    <row r="762" spans="2:2">
      <c r="B762" s="290"/>
    </row>
    <row r="763" spans="2:2">
      <c r="B763" s="290"/>
    </row>
    <row r="764" spans="2:2">
      <c r="B764" s="290"/>
    </row>
    <row r="765" spans="2:2">
      <c r="B765" s="290"/>
    </row>
    <row r="766" spans="2:2">
      <c r="B766" s="290"/>
    </row>
    <row r="767" spans="2:2">
      <c r="B767" s="290"/>
    </row>
    <row r="768" spans="2:2">
      <c r="B768" s="290"/>
    </row>
    <row r="769" spans="2:2">
      <c r="B769" s="290"/>
    </row>
    <row r="770" spans="2:2">
      <c r="B770" s="290"/>
    </row>
    <row r="771" spans="2:2">
      <c r="B771" s="290"/>
    </row>
    <row r="772" spans="2:2">
      <c r="B772" s="290"/>
    </row>
    <row r="773" spans="2:2">
      <c r="B773" s="290"/>
    </row>
    <row r="774" spans="2:2">
      <c r="B774" s="290"/>
    </row>
    <row r="775" spans="2:2">
      <c r="B775" s="290"/>
    </row>
    <row r="776" spans="2:2">
      <c r="B776" s="290"/>
    </row>
    <row r="777" spans="2:2">
      <c r="B777" s="290"/>
    </row>
    <row r="778" spans="2:2">
      <c r="B778" s="290"/>
    </row>
    <row r="779" spans="2:2">
      <c r="B779" s="290"/>
    </row>
    <row r="780" spans="2:2">
      <c r="B780" s="290"/>
    </row>
    <row r="781" spans="2:2">
      <c r="B781" s="290"/>
    </row>
    <row r="782" spans="2:2">
      <c r="B782" s="290"/>
    </row>
    <row r="783" spans="2:2">
      <c r="B783" s="290"/>
    </row>
    <row r="784" spans="2:2">
      <c r="B784" s="290"/>
    </row>
    <row r="785" spans="2:2">
      <c r="B785" s="290"/>
    </row>
    <row r="786" spans="2:2">
      <c r="B786" s="290"/>
    </row>
    <row r="787" spans="2:2">
      <c r="B787" s="290"/>
    </row>
    <row r="788" spans="2:2">
      <c r="B788" s="290"/>
    </row>
    <row r="789" spans="2:2">
      <c r="B789" s="290"/>
    </row>
    <row r="790" spans="2:2">
      <c r="B790" s="290"/>
    </row>
    <row r="791" spans="2:2">
      <c r="B791" s="290"/>
    </row>
    <row r="792" spans="2:2">
      <c r="B792" s="290"/>
    </row>
    <row r="793" spans="2:2">
      <c r="B793" s="290"/>
    </row>
    <row r="794" spans="2:2">
      <c r="B794" s="290"/>
    </row>
    <row r="795" spans="2:2">
      <c r="B795" s="290"/>
    </row>
    <row r="796" spans="2:2">
      <c r="B796" s="290"/>
    </row>
    <row r="797" spans="2:2">
      <c r="B797" s="290"/>
    </row>
    <row r="798" spans="2:2">
      <c r="B798" s="290"/>
    </row>
    <row r="799" spans="2:2">
      <c r="B799" s="290"/>
    </row>
    <row r="800" spans="2:2">
      <c r="B800" s="290"/>
    </row>
    <row r="801" spans="2:2">
      <c r="B801" s="290"/>
    </row>
    <row r="802" spans="2:2">
      <c r="B802" s="290"/>
    </row>
    <row r="803" spans="2:2">
      <c r="B803" s="290"/>
    </row>
    <row r="804" spans="2:2">
      <c r="B804" s="290"/>
    </row>
    <row r="805" spans="2:2">
      <c r="B805" s="290"/>
    </row>
    <row r="806" spans="2:2">
      <c r="B806" s="290"/>
    </row>
    <row r="807" spans="2:2">
      <c r="B807" s="290"/>
    </row>
    <row r="808" spans="2:2">
      <c r="B808" s="290"/>
    </row>
    <row r="809" spans="2:2">
      <c r="B809" s="290"/>
    </row>
    <row r="810" spans="2:2">
      <c r="B810" s="290"/>
    </row>
    <row r="811" spans="2:2">
      <c r="B811" s="290"/>
    </row>
    <row r="812" spans="2:2">
      <c r="B812" s="290"/>
    </row>
    <row r="813" spans="2:2">
      <c r="B813" s="290"/>
    </row>
    <row r="814" spans="2:2">
      <c r="B814" s="290"/>
    </row>
    <row r="815" spans="2:2">
      <c r="B815" s="290"/>
    </row>
    <row r="816" spans="2:2">
      <c r="B816" s="290"/>
    </row>
    <row r="817" spans="2:2">
      <c r="B817" s="290"/>
    </row>
    <row r="818" spans="2:2">
      <c r="B818" s="290"/>
    </row>
    <row r="819" spans="2:2">
      <c r="B819" s="290"/>
    </row>
    <row r="820" spans="2:2">
      <c r="B820" s="290"/>
    </row>
    <row r="821" spans="2:2">
      <c r="B821" s="290"/>
    </row>
    <row r="822" spans="2:2">
      <c r="B822" s="290"/>
    </row>
    <row r="823" spans="2:2">
      <c r="B823" s="290"/>
    </row>
    <row r="824" spans="2:2">
      <c r="B824" s="290"/>
    </row>
    <row r="825" spans="2:2">
      <c r="B825" s="290"/>
    </row>
    <row r="826" spans="2:2">
      <c r="B826" s="290"/>
    </row>
    <row r="827" spans="2:2">
      <c r="B827" s="290"/>
    </row>
    <row r="828" spans="2:2">
      <c r="B828" s="290"/>
    </row>
    <row r="829" spans="2:2">
      <c r="B829" s="290"/>
    </row>
    <row r="830" spans="2:2">
      <c r="B830" s="290"/>
    </row>
    <row r="831" spans="2:2">
      <c r="B831" s="290"/>
    </row>
    <row r="832" spans="2:2">
      <c r="B832" s="290"/>
    </row>
    <row r="833" spans="2:2">
      <c r="B833" s="290"/>
    </row>
    <row r="834" spans="2:2">
      <c r="B834" s="290"/>
    </row>
    <row r="835" spans="2:2">
      <c r="B835" s="290"/>
    </row>
    <row r="836" spans="2:2">
      <c r="B836" s="290"/>
    </row>
    <row r="837" spans="2:2">
      <c r="B837" s="290"/>
    </row>
    <row r="838" spans="2:2">
      <c r="B838" s="290"/>
    </row>
    <row r="839" spans="2:2">
      <c r="B839" s="290"/>
    </row>
    <row r="840" spans="2:2">
      <c r="B840" s="290"/>
    </row>
    <row r="841" spans="2:2">
      <c r="B841" s="290"/>
    </row>
    <row r="842" spans="2:2">
      <c r="B842" s="290"/>
    </row>
    <row r="843" spans="2:2">
      <c r="B843" s="290"/>
    </row>
    <row r="844" spans="2:2">
      <c r="B844" s="290"/>
    </row>
    <row r="845" spans="2:2">
      <c r="B845" s="290"/>
    </row>
    <row r="846" spans="2:2">
      <c r="B846" s="290"/>
    </row>
    <row r="847" spans="2:2">
      <c r="B847" s="290"/>
    </row>
    <row r="848" spans="2:2">
      <c r="B848" s="290"/>
    </row>
    <row r="849" spans="2:2">
      <c r="B849" s="290"/>
    </row>
    <row r="850" spans="2:2">
      <c r="B850" s="290"/>
    </row>
    <row r="851" spans="2:2">
      <c r="B851" s="290"/>
    </row>
    <row r="852" spans="2:2">
      <c r="B852" s="290"/>
    </row>
    <row r="853" spans="2:2">
      <c r="B853" s="290"/>
    </row>
    <row r="854" spans="2:2">
      <c r="B854" s="290"/>
    </row>
    <row r="855" spans="2:2">
      <c r="B855" s="290"/>
    </row>
    <row r="856" spans="2:2">
      <c r="B856" s="290"/>
    </row>
    <row r="857" spans="2:2">
      <c r="B857" s="290"/>
    </row>
    <row r="858" spans="2:2">
      <c r="B858" s="290"/>
    </row>
    <row r="859" spans="2:2">
      <c r="B859" s="290"/>
    </row>
    <row r="860" spans="2:2">
      <c r="B860" s="290"/>
    </row>
    <row r="861" spans="2:2">
      <c r="B861" s="290"/>
    </row>
    <row r="862" spans="2:2">
      <c r="B862" s="290"/>
    </row>
    <row r="863" spans="2:2">
      <c r="B863" s="290"/>
    </row>
    <row r="864" spans="2:2">
      <c r="B864" s="290"/>
    </row>
    <row r="865" spans="2:2">
      <c r="B865" s="290"/>
    </row>
    <row r="866" spans="2:2">
      <c r="B866" s="290"/>
    </row>
    <row r="867" spans="2:2">
      <c r="B867" s="290"/>
    </row>
    <row r="868" spans="2:2">
      <c r="B868" s="290"/>
    </row>
    <row r="869" spans="2:2">
      <c r="B869" s="290"/>
    </row>
    <row r="870" spans="2:2">
      <c r="B870" s="290"/>
    </row>
    <row r="871" spans="2:2">
      <c r="B871" s="290"/>
    </row>
    <row r="872" spans="2:2">
      <c r="B872" s="290"/>
    </row>
    <row r="873" spans="2:2">
      <c r="B873" s="290"/>
    </row>
    <row r="874" spans="2:2">
      <c r="B874" s="290"/>
    </row>
    <row r="875" spans="2:2">
      <c r="B875" s="290"/>
    </row>
    <row r="876" spans="2:2">
      <c r="B876" s="290"/>
    </row>
    <row r="877" spans="2:2">
      <c r="B877" s="290"/>
    </row>
    <row r="878" spans="2:2">
      <c r="B878" s="290"/>
    </row>
    <row r="879" spans="2:2">
      <c r="B879" s="290"/>
    </row>
    <row r="880" spans="2:2">
      <c r="B880" s="290"/>
    </row>
    <row r="881" spans="2:2">
      <c r="B881" s="290"/>
    </row>
    <row r="882" spans="2:2">
      <c r="B882" s="290"/>
    </row>
    <row r="883" spans="2:2">
      <c r="B883" s="290"/>
    </row>
    <row r="884" spans="2:2">
      <c r="B884" s="290"/>
    </row>
    <row r="885" spans="2:2">
      <c r="B885" s="290"/>
    </row>
    <row r="886" spans="2:2">
      <c r="B886" s="290"/>
    </row>
    <row r="887" spans="2:2">
      <c r="B887" s="290"/>
    </row>
    <row r="888" spans="2:2">
      <c r="B888" s="290"/>
    </row>
    <row r="889" spans="2:2">
      <c r="B889" s="290"/>
    </row>
    <row r="890" spans="2:2">
      <c r="B890" s="290"/>
    </row>
    <row r="891" spans="2:2">
      <c r="B891" s="290"/>
    </row>
    <row r="892" spans="2:2">
      <c r="B892" s="290"/>
    </row>
    <row r="893" spans="2:2">
      <c r="B893" s="290"/>
    </row>
    <row r="894" spans="2:2">
      <c r="B894" s="290"/>
    </row>
    <row r="895" spans="2:2">
      <c r="B895" s="290"/>
    </row>
    <row r="896" spans="2:2">
      <c r="B896" s="290"/>
    </row>
    <row r="897" spans="2:2">
      <c r="B897" s="290"/>
    </row>
    <row r="898" spans="2:2">
      <c r="B898" s="290"/>
    </row>
    <row r="899" spans="2:2">
      <c r="B899" s="290"/>
    </row>
    <row r="900" spans="2:2">
      <c r="B900" s="290"/>
    </row>
    <row r="901" spans="2:2">
      <c r="B901" s="290"/>
    </row>
    <row r="902" spans="2:2">
      <c r="B902" s="290"/>
    </row>
    <row r="903" spans="2:2">
      <c r="B903" s="290"/>
    </row>
    <row r="904" spans="2:2">
      <c r="B904" s="290"/>
    </row>
    <row r="905" spans="2:2">
      <c r="B905" s="290"/>
    </row>
    <row r="906" spans="2:2">
      <c r="B906" s="290"/>
    </row>
    <row r="907" spans="2:2">
      <c r="B907" s="290"/>
    </row>
    <row r="908" spans="2:2">
      <c r="B908" s="290"/>
    </row>
    <row r="909" spans="2:2">
      <c r="B909" s="290"/>
    </row>
    <row r="910" spans="2:2">
      <c r="B910" s="290"/>
    </row>
    <row r="911" spans="2:2">
      <c r="B911" s="290"/>
    </row>
    <row r="912" spans="2:2">
      <c r="B912" s="290"/>
    </row>
    <row r="913" spans="2:2">
      <c r="B913" s="290"/>
    </row>
    <row r="914" spans="2:2">
      <c r="B914" s="290"/>
    </row>
    <row r="915" spans="2:2">
      <c r="B915" s="290"/>
    </row>
    <row r="916" spans="2:2">
      <c r="B916" s="290"/>
    </row>
    <row r="917" spans="2:2">
      <c r="B917" s="290"/>
    </row>
    <row r="918" spans="2:2">
      <c r="B918" s="290"/>
    </row>
    <row r="919" spans="2:2">
      <c r="B919" s="290"/>
    </row>
    <row r="920" spans="2:2">
      <c r="B920" s="290"/>
    </row>
    <row r="921" spans="2:2">
      <c r="B921" s="290"/>
    </row>
    <row r="922" spans="2:2">
      <c r="B922" s="290"/>
    </row>
    <row r="923" spans="2:2">
      <c r="B923" s="290"/>
    </row>
    <row r="924" spans="2:2">
      <c r="B924" s="290"/>
    </row>
    <row r="925" spans="2:2">
      <c r="B925" s="290"/>
    </row>
    <row r="926" spans="2:2">
      <c r="B926" s="290"/>
    </row>
    <row r="927" spans="2:2">
      <c r="B927" s="290"/>
    </row>
    <row r="928" spans="2:2">
      <c r="B928" s="290"/>
    </row>
    <row r="929" spans="2:2">
      <c r="B929" s="290"/>
    </row>
    <row r="930" spans="2:2">
      <c r="B930" s="290"/>
    </row>
    <row r="931" spans="2:2">
      <c r="B931" s="290"/>
    </row>
    <row r="932" spans="2:2">
      <c r="B932" s="290"/>
    </row>
    <row r="933" spans="2:2">
      <c r="B933" s="290"/>
    </row>
    <row r="934" spans="2:2">
      <c r="B934" s="290"/>
    </row>
    <row r="935" spans="2:2">
      <c r="B935" s="290"/>
    </row>
    <row r="936" spans="2:2">
      <c r="B936" s="290"/>
    </row>
    <row r="937" spans="2:2">
      <c r="B937" s="290"/>
    </row>
    <row r="938" spans="2:2">
      <c r="B938" s="290"/>
    </row>
    <row r="939" spans="2:2">
      <c r="B939" s="290"/>
    </row>
    <row r="940" spans="2:2">
      <c r="B940" s="290"/>
    </row>
    <row r="941" spans="2:2">
      <c r="B941" s="290"/>
    </row>
    <row r="942" spans="2:2">
      <c r="B942" s="290"/>
    </row>
    <row r="943" spans="2:2">
      <c r="B943" s="290"/>
    </row>
    <row r="944" spans="2:2">
      <c r="B944" s="290"/>
    </row>
    <row r="945" spans="2:2">
      <c r="B945" s="290"/>
    </row>
    <row r="946" spans="2:2">
      <c r="B946" s="290"/>
    </row>
    <row r="947" spans="2:2">
      <c r="B947" s="290"/>
    </row>
    <row r="948" spans="2:2">
      <c r="B948" s="290"/>
    </row>
    <row r="949" spans="2:2">
      <c r="B949" s="290"/>
    </row>
    <row r="950" spans="2:2">
      <c r="B950" s="290"/>
    </row>
    <row r="951" spans="2:2">
      <c r="B951" s="290"/>
    </row>
    <row r="952" spans="2:2">
      <c r="B952" s="290"/>
    </row>
    <row r="953" spans="2:2">
      <c r="B953" s="290"/>
    </row>
    <row r="954" spans="2:2">
      <c r="B954" s="290"/>
    </row>
    <row r="955" spans="2:2">
      <c r="B955" s="290"/>
    </row>
  </sheetData>
  <sheetProtection algorithmName="SHA-512" hashValue="4A5uJiH59hHmNPEkZHu9Fq++LaGgOl49goWVzFv8n48nZmFUoGZPStXgqsVLLasn9ZEbpajBPThJsL8ho2qLXw==" saltValue="RFI0HgjzfxhMzZe+J9FBjg==" spinCount="100000" sheet="1" objects="1" scenarios="1"/>
  <mergeCells count="3">
    <mergeCell ref="B4:B7"/>
    <mergeCell ref="B8:B15"/>
    <mergeCell ref="B16:B17"/>
  </mergeCells>
  <dataValidations count="1">
    <dataValidation type="list" allowBlank="1" showInputMessage="1" showErrorMessage="1" sqref="D4:D17" xr:uid="{314FD1B6-0820-4AA9-9B90-8C45D94D94D6}">
      <formula1>"Sim,Não"</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6F34B-0947-46B4-A330-9CD6B3117F9D}">
  <sheetPr>
    <tabColor theme="7" tint="0.79998168889431442"/>
  </sheetPr>
  <dimension ref="A1:I955"/>
  <sheetViews>
    <sheetView zoomScaleNormal="100" workbookViewId="0">
      <selection activeCell="H14" sqref="H14"/>
    </sheetView>
  </sheetViews>
  <sheetFormatPr defaultColWidth="12.5703125" defaultRowHeight="12.75"/>
  <cols>
    <col min="1" max="1" width="3.42578125" style="283" customWidth="1"/>
    <col min="2" max="2" width="15.85546875" style="283" customWidth="1"/>
    <col min="3" max="3" width="83.5703125" style="287" customWidth="1"/>
    <col min="4" max="4" width="150.5703125" style="283" customWidth="1"/>
    <col min="5" max="5" width="20.42578125" style="283" customWidth="1"/>
    <col min="6" max="6" width="7.85546875" style="283" customWidth="1"/>
    <col min="7" max="7" width="29.140625" style="283" customWidth="1"/>
    <col min="8" max="8" width="11.85546875" style="283" customWidth="1"/>
    <col min="9" max="9" width="3.85546875" style="283" customWidth="1"/>
    <col min="10" max="16384" width="12.5703125" style="283"/>
  </cols>
  <sheetData>
    <row r="1" spans="1:9" ht="57.75" customHeight="1">
      <c r="A1" s="279"/>
      <c r="B1" s="280"/>
      <c r="C1" s="281" t="s">
        <v>557</v>
      </c>
      <c r="D1" s="280"/>
      <c r="E1" s="280"/>
      <c r="F1" s="280"/>
      <c r="G1" s="280"/>
      <c r="H1" s="280"/>
      <c r="I1" s="282"/>
    </row>
    <row r="2" spans="1:9" ht="31.5" customHeight="1" thickBot="1">
      <c r="A2" s="282"/>
      <c r="B2" s="282"/>
      <c r="C2" s="317"/>
      <c r="D2" s="282"/>
      <c r="E2" s="282"/>
      <c r="F2" s="282"/>
      <c r="G2" s="318" t="s">
        <v>550</v>
      </c>
      <c r="H2" s="319"/>
      <c r="I2" s="282"/>
    </row>
    <row r="3" spans="1:9" ht="31.5" customHeight="1">
      <c r="A3" s="282"/>
      <c r="B3" s="304" t="s">
        <v>551</v>
      </c>
      <c r="C3" s="320" t="s">
        <v>552</v>
      </c>
      <c r="D3" s="305" t="s">
        <v>565</v>
      </c>
      <c r="E3" s="321" t="s">
        <v>566</v>
      </c>
      <c r="F3" s="300"/>
      <c r="G3" s="322" t="s">
        <v>559</v>
      </c>
      <c r="H3" s="323" t="s">
        <v>558</v>
      </c>
      <c r="I3" s="282"/>
    </row>
    <row r="4" spans="1:9" ht="102" customHeight="1">
      <c r="A4" s="282"/>
      <c r="B4" s="555" t="s">
        <v>575</v>
      </c>
      <c r="C4" s="324" t="s">
        <v>678</v>
      </c>
      <c r="D4" s="324" t="s">
        <v>571</v>
      </c>
      <c r="E4" s="325">
        <v>0.15</v>
      </c>
      <c r="F4" s="300"/>
      <c r="G4" s="313"/>
      <c r="H4" s="326">
        <f>IF(LEFT(G4,6)="Nota 1",20%*E4,IF(LEFT(G4,6)="Nota 2",40%*E4,IF(LEFT(G4,6)="Nota 3",60%*E4,IF(LEFT(G4,6)="Nota 4",80%*E4,IF(LEFT(G4,6)="Nota 5",100%*E4,0)))))</f>
        <v>0</v>
      </c>
      <c r="I4" s="282"/>
    </row>
    <row r="5" spans="1:9" ht="102" customHeight="1">
      <c r="A5" s="282"/>
      <c r="B5" s="556"/>
      <c r="C5" s="324" t="s">
        <v>576</v>
      </c>
      <c r="D5" s="324" t="s">
        <v>571</v>
      </c>
      <c r="E5" s="325">
        <v>0.15</v>
      </c>
      <c r="F5" s="300"/>
      <c r="G5" s="313"/>
      <c r="H5" s="326">
        <f>IF(LEFT(G5,6)="Nota 1",20%*E5,IF(LEFT(G5,6)="Nota 2",40%*E5,IF(LEFT(G5,6)="Nota 3",60%*E5,IF(LEFT(G5,6)="Nota 4",80%*E5,IF(LEFT(G5,6)="Nota 5",100%*E5,0)))))</f>
        <v>0</v>
      </c>
      <c r="I5" s="282"/>
    </row>
    <row r="6" spans="1:9" ht="95.25" customHeight="1" thickBot="1">
      <c r="A6" s="282"/>
      <c r="B6" s="556"/>
      <c r="C6" s="324" t="s">
        <v>679</v>
      </c>
      <c r="D6" s="324" t="s">
        <v>572</v>
      </c>
      <c r="E6" s="325">
        <v>0.2</v>
      </c>
      <c r="F6" s="300"/>
      <c r="G6" s="313"/>
      <c r="H6" s="326">
        <f>IF(LEFT(G6,6)="Nota 1",20%*E6,IF(LEFT(G6,6)="Nota 2",40%*E6,IF(LEFT(G6,6)="Nota 3",60%*E6,IF(LEFT(G6,6)="Nota 4",80%*E6,IF(LEFT(G6,6)="Nota 5",100%*E6,0)))))</f>
        <v>0</v>
      </c>
      <c r="I6" s="282"/>
    </row>
    <row r="7" spans="1:9" ht="31.5" customHeight="1" thickBot="1">
      <c r="A7" s="282"/>
      <c r="B7" s="557"/>
      <c r="C7" s="558" t="s">
        <v>560</v>
      </c>
      <c r="D7" s="559"/>
      <c r="E7" s="327">
        <f>SUM(E4:E6)</f>
        <v>0.5</v>
      </c>
      <c r="F7" s="300"/>
      <c r="G7" s="328" t="s">
        <v>561</v>
      </c>
      <c r="H7" s="329">
        <f>SUM(H4:H6)</f>
        <v>0</v>
      </c>
      <c r="I7" s="282"/>
    </row>
    <row r="8" spans="1:9" ht="82.5" customHeight="1">
      <c r="A8" s="282"/>
      <c r="B8" s="560" t="s">
        <v>567</v>
      </c>
      <c r="C8" s="330" t="s">
        <v>672</v>
      </c>
      <c r="D8" s="324" t="s">
        <v>577</v>
      </c>
      <c r="E8" s="325">
        <v>0.2</v>
      </c>
      <c r="F8" s="331"/>
      <c r="G8" s="332" t="str">
        <f>Opções!E28</f>
        <v xml:space="preserve">Nota 4: R$ 0,40 a R$ 0,50/m³ </v>
      </c>
      <c r="H8" s="326">
        <f t="shared" ref="H8" si="0">IF(LEFT(G8,6)="Nota 1",20%*E8,IF(LEFT(G8,6)="Nota 2",40%*E8,IF(LEFT(G8,6)="Nota 3",60%*E8,IF(LEFT(G8,6)="Nota 4",80%*E8,IF(LEFT(G8,6)="Nota 5",100%*E8)))))</f>
        <v>0.16000000000000003</v>
      </c>
      <c r="I8" s="282"/>
    </row>
    <row r="9" spans="1:9" ht="81" customHeight="1" thickBot="1">
      <c r="A9" s="282"/>
      <c r="B9" s="561"/>
      <c r="C9" s="330" t="s">
        <v>671</v>
      </c>
      <c r="D9" s="324" t="s">
        <v>573</v>
      </c>
      <c r="E9" s="325">
        <v>0.2</v>
      </c>
      <c r="F9" s="300"/>
      <c r="G9" s="333" t="str">
        <f>Opções!E36</f>
        <v>Nota 4: 14,1% a 16,0%</v>
      </c>
      <c r="H9" s="326">
        <f>IF(LEFT(G9,6)="Nota 1",20%*E9,IF(LEFT(G9,6)="Nota 2",40%*E9,IF(LEFT(G9,6)="Nota 3",60%*E9,IF(LEFT(G9,6)="Nota 4",80%*E9,IF(LEFT(G9,6)="Nota 5",100%*E9,IF(LEFT(G9,6)="Nota 0",0%))))))</f>
        <v>0.16000000000000003</v>
      </c>
      <c r="I9" s="282"/>
    </row>
    <row r="10" spans="1:9" ht="32.450000000000003" customHeight="1" thickBot="1">
      <c r="A10" s="282"/>
      <c r="B10" s="562"/>
      <c r="C10" s="558" t="s">
        <v>562</v>
      </c>
      <c r="D10" s="559"/>
      <c r="E10" s="327">
        <f>SUM(E8:E9)</f>
        <v>0.4</v>
      </c>
      <c r="F10" s="300"/>
      <c r="G10" s="334" t="s">
        <v>563</v>
      </c>
      <c r="H10" s="329">
        <f>SUM(H8:H9)</f>
        <v>0.32000000000000006</v>
      </c>
      <c r="I10" s="282"/>
    </row>
    <row r="11" spans="1:9" ht="75" customHeight="1">
      <c r="A11"/>
      <c r="B11" s="560" t="s">
        <v>574</v>
      </c>
      <c r="C11" s="335" t="s">
        <v>580</v>
      </c>
      <c r="D11" s="336" t="s">
        <v>568</v>
      </c>
      <c r="E11" s="337">
        <v>0.03</v>
      </c>
      <c r="F11" s="300"/>
      <c r="G11" s="346"/>
      <c r="H11" s="326">
        <f>IF(LEFT(G11,6)="Nota 0",0%*E11,IF(LEFT(G11,6)="Nota 3",60%*E11,IF(LEFT(G11,6)="Nota 5",100%*E11,0)))</f>
        <v>0</v>
      </c>
      <c r="I11" s="282"/>
    </row>
    <row r="12" spans="1:9" ht="75" customHeight="1">
      <c r="A12"/>
      <c r="B12" s="561"/>
      <c r="C12" s="335" t="s">
        <v>622</v>
      </c>
      <c r="D12" s="348" t="s">
        <v>667</v>
      </c>
      <c r="E12" s="337"/>
      <c r="F12" s="300"/>
      <c r="G12" s="338"/>
      <c r="H12" s="326"/>
      <c r="I12" s="282"/>
    </row>
    <row r="13" spans="1:9" ht="59.45" customHeight="1">
      <c r="A13"/>
      <c r="B13" s="561"/>
      <c r="C13" s="339" t="s">
        <v>581</v>
      </c>
      <c r="D13" s="336" t="s">
        <v>568</v>
      </c>
      <c r="E13" s="337">
        <v>0.03</v>
      </c>
      <c r="F13" s="300"/>
      <c r="G13" s="347"/>
      <c r="H13" s="326">
        <f>IF(LEFT(G13,6)="Nota 0",0%*E13,IF(LEFT(G13,6)="Nota 3",60%*E13,IF(LEFT(G13,6)="Nota 5",100%*E13,0)))</f>
        <v>0</v>
      </c>
      <c r="I13" s="282"/>
    </row>
    <row r="14" spans="1:9" ht="73.5" customHeight="1">
      <c r="A14"/>
      <c r="B14" s="561"/>
      <c r="C14" s="335" t="s">
        <v>622</v>
      </c>
      <c r="D14" s="348" t="s">
        <v>667</v>
      </c>
      <c r="E14" s="337"/>
      <c r="F14" s="300"/>
      <c r="G14" s="333"/>
      <c r="H14" s="326"/>
      <c r="I14" s="282"/>
    </row>
    <row r="15" spans="1:9" ht="57.75" thickBot="1">
      <c r="A15" s="282"/>
      <c r="B15" s="561"/>
      <c r="C15" s="335" t="s">
        <v>673</v>
      </c>
      <c r="D15" s="324" t="s">
        <v>626</v>
      </c>
      <c r="E15" s="337">
        <v>0.04</v>
      </c>
      <c r="F15" s="300"/>
      <c r="G15" s="340" t="str">
        <f>IF(OR(COUNTIF('Matriz de Riscos'!C4:C13,"Operacional")=0,COUNTIF('Matriz de Riscos'!C4:C13,"Ambiental")=0,COUNTIF('Matriz de Riscos'!C4:C13,"Financeiro")=0,COUNTA('Matriz de Riscos'!D4:D13)&lt;3,COUNTA('Matriz de Riscos'!E4:E13)&lt;3,COUNTA('Matriz de Riscos'!F4:F13)&lt;3),"Nota 0",
IF(AND(COUNTIF('Matriz de Riscos'!C4:C13,"Operacional")&gt;=2,COUNTIF('Matriz de Riscos'!C4:C13,"Ambiental")&gt;=2,COUNTIF('Matriz de Riscos'!C4:C13,"Financeiro")&gt;=2,COUNTA('Matriz de Riscos'!D4:D13)&gt;=6,COUNTA('Matriz de Riscos'!E4:E13)&gt;=6,COUNTA('Matriz de Riscos'!F4:F13)&gt;=6),"Nota 5","Nota 3"))</f>
        <v>Nota 0</v>
      </c>
      <c r="H15" s="326">
        <f>IF(LEFT(G15,6)="Nota 0",0%*E15,IF(LEFT(G15,6)="Nota 3",60%*E15,IF(LEFT(G15,6)="Nota 5",100%*E15)))</f>
        <v>0</v>
      </c>
      <c r="I15" s="282"/>
    </row>
    <row r="16" spans="1:9" ht="32.450000000000003" customHeight="1" thickBot="1">
      <c r="A16" s="282"/>
      <c r="B16" s="562"/>
      <c r="C16" s="558" t="s">
        <v>578</v>
      </c>
      <c r="D16" s="559"/>
      <c r="E16" s="327">
        <f>SUM(E11:E15)</f>
        <v>0.1</v>
      </c>
      <c r="F16" s="300"/>
      <c r="G16" s="334" t="s">
        <v>563</v>
      </c>
      <c r="H16" s="329">
        <f>SUM(H11:H15)</f>
        <v>0</v>
      </c>
      <c r="I16" s="282"/>
    </row>
    <row r="17" spans="1:9" ht="28.5" customHeight="1" thickBot="1">
      <c r="A17" s="282"/>
      <c r="B17" s="341"/>
      <c r="C17" s="312"/>
      <c r="D17" s="300"/>
      <c r="E17" s="342"/>
      <c r="F17" s="300"/>
      <c r="G17" s="343" t="s">
        <v>564</v>
      </c>
      <c r="H17" s="314">
        <f>H7+H10+H16</f>
        <v>0.32000000000000006</v>
      </c>
      <c r="I17" s="282"/>
    </row>
    <row r="18" spans="1:9">
      <c r="B18" s="290"/>
      <c r="D18" s="344"/>
    </row>
    <row r="19" spans="1:9">
      <c r="B19" s="290"/>
      <c r="D19" s="344"/>
    </row>
    <row r="20" spans="1:9" ht="15">
      <c r="B20" s="286"/>
      <c r="D20" s="344"/>
    </row>
    <row r="21" spans="1:9" ht="14.25">
      <c r="B21" s="288"/>
      <c r="D21" s="344"/>
    </row>
    <row r="22" spans="1:9" ht="14.25">
      <c r="B22" s="288"/>
      <c r="D22" s="344"/>
    </row>
    <row r="23" spans="1:9" ht="14.25">
      <c r="B23" s="288"/>
      <c r="D23" s="344"/>
    </row>
    <row r="24" spans="1:9" ht="14.25">
      <c r="B24" s="288"/>
      <c r="D24" s="344"/>
      <c r="E24" s="345"/>
    </row>
    <row r="25" spans="1:9" ht="15">
      <c r="B25" s="286"/>
      <c r="D25" s="344"/>
    </row>
    <row r="26" spans="1:9" ht="14.25">
      <c r="B26" s="288"/>
      <c r="D26" s="344"/>
    </row>
    <row r="27" spans="1:9" ht="14.25">
      <c r="B27" s="288"/>
      <c r="D27" s="344"/>
    </row>
    <row r="28" spans="1:9" ht="14.25">
      <c r="B28" s="288"/>
      <c r="D28" s="344"/>
    </row>
    <row r="29" spans="1:9" ht="14.25">
      <c r="B29" s="288"/>
      <c r="D29" s="344"/>
    </row>
    <row r="30" spans="1:9" ht="15">
      <c r="B30" s="286"/>
      <c r="D30" s="344"/>
    </row>
    <row r="31" spans="1:9" ht="14.25">
      <c r="B31" s="288"/>
      <c r="D31" s="344"/>
    </row>
    <row r="32" spans="1:9" ht="14.25">
      <c r="B32" s="288"/>
      <c r="D32" s="344"/>
    </row>
    <row r="33" spans="2:4" ht="14.25">
      <c r="B33" s="288"/>
      <c r="D33" s="344"/>
    </row>
    <row r="34" spans="2:4" ht="14.25">
      <c r="B34" s="288"/>
      <c r="D34" s="344"/>
    </row>
    <row r="35" spans="2:4">
      <c r="B35" s="290"/>
      <c r="D35" s="344"/>
    </row>
    <row r="36" spans="2:4">
      <c r="B36" s="290"/>
      <c r="D36" s="344"/>
    </row>
    <row r="37" spans="2:4">
      <c r="B37" s="290"/>
      <c r="D37" s="344"/>
    </row>
    <row r="38" spans="2:4">
      <c r="B38" s="290"/>
      <c r="D38" s="344"/>
    </row>
    <row r="39" spans="2:4">
      <c r="B39" s="290"/>
      <c r="D39" s="344"/>
    </row>
    <row r="40" spans="2:4">
      <c r="B40" s="290"/>
      <c r="D40" s="344"/>
    </row>
    <row r="41" spans="2:4">
      <c r="B41" s="290"/>
      <c r="D41" s="344"/>
    </row>
    <row r="42" spans="2:4">
      <c r="B42" s="290"/>
      <c r="D42" s="344"/>
    </row>
    <row r="43" spans="2:4">
      <c r="B43" s="290"/>
      <c r="D43" s="344"/>
    </row>
    <row r="44" spans="2:4">
      <c r="B44" s="290"/>
      <c r="D44" s="344"/>
    </row>
    <row r="45" spans="2:4">
      <c r="B45" s="290"/>
      <c r="D45" s="344"/>
    </row>
    <row r="46" spans="2:4">
      <c r="B46" s="290"/>
      <c r="D46" s="344"/>
    </row>
    <row r="47" spans="2:4">
      <c r="B47" s="290"/>
      <c r="D47" s="344"/>
    </row>
    <row r="48" spans="2:4">
      <c r="B48" s="290"/>
      <c r="D48" s="344"/>
    </row>
    <row r="49" spans="2:4">
      <c r="B49" s="290"/>
      <c r="D49" s="344"/>
    </row>
    <row r="50" spans="2:4">
      <c r="B50" s="290"/>
      <c r="D50" s="344"/>
    </row>
    <row r="51" spans="2:4">
      <c r="B51" s="290"/>
      <c r="D51" s="344"/>
    </row>
    <row r="52" spans="2:4">
      <c r="B52" s="290"/>
      <c r="D52" s="344"/>
    </row>
    <row r="53" spans="2:4">
      <c r="B53" s="290"/>
      <c r="D53" s="344"/>
    </row>
    <row r="54" spans="2:4">
      <c r="B54" s="290"/>
      <c r="D54" s="344"/>
    </row>
    <row r="55" spans="2:4">
      <c r="B55" s="290"/>
      <c r="D55" s="344"/>
    </row>
    <row r="56" spans="2:4">
      <c r="B56" s="290"/>
      <c r="D56" s="344"/>
    </row>
    <row r="57" spans="2:4">
      <c r="B57" s="290"/>
      <c r="D57" s="344"/>
    </row>
    <row r="58" spans="2:4">
      <c r="B58" s="290"/>
      <c r="D58" s="344"/>
    </row>
    <row r="59" spans="2:4">
      <c r="B59" s="290"/>
      <c r="D59" s="344"/>
    </row>
    <row r="60" spans="2:4">
      <c r="B60" s="290"/>
      <c r="D60" s="344"/>
    </row>
    <row r="61" spans="2:4">
      <c r="B61" s="290"/>
      <c r="D61" s="344"/>
    </row>
    <row r="62" spans="2:4">
      <c r="B62" s="290"/>
      <c r="D62" s="344"/>
    </row>
    <row r="63" spans="2:4">
      <c r="B63" s="290"/>
      <c r="D63" s="344"/>
    </row>
    <row r="64" spans="2:4">
      <c r="B64" s="290"/>
      <c r="D64" s="344"/>
    </row>
    <row r="65" spans="2:4">
      <c r="B65" s="290"/>
      <c r="D65" s="344"/>
    </row>
    <row r="66" spans="2:4">
      <c r="B66" s="290"/>
      <c r="D66" s="344"/>
    </row>
    <row r="67" spans="2:4">
      <c r="B67" s="290"/>
      <c r="D67" s="344"/>
    </row>
    <row r="68" spans="2:4">
      <c r="B68" s="290"/>
      <c r="D68" s="344"/>
    </row>
    <row r="69" spans="2:4">
      <c r="B69" s="290"/>
      <c r="D69" s="344"/>
    </row>
    <row r="70" spans="2:4">
      <c r="B70" s="290"/>
      <c r="D70" s="344"/>
    </row>
    <row r="71" spans="2:4">
      <c r="B71" s="290"/>
      <c r="D71" s="344"/>
    </row>
    <row r="72" spans="2:4">
      <c r="B72" s="290"/>
      <c r="D72" s="344"/>
    </row>
    <row r="73" spans="2:4">
      <c r="B73" s="290"/>
      <c r="D73" s="344"/>
    </row>
    <row r="74" spans="2:4">
      <c r="B74" s="290"/>
      <c r="D74" s="344"/>
    </row>
    <row r="75" spans="2:4">
      <c r="B75" s="290"/>
      <c r="D75" s="344"/>
    </row>
    <row r="76" spans="2:4">
      <c r="B76" s="290"/>
      <c r="D76" s="344"/>
    </row>
    <row r="77" spans="2:4">
      <c r="B77" s="290"/>
      <c r="D77" s="344"/>
    </row>
    <row r="78" spans="2:4">
      <c r="B78" s="290"/>
      <c r="D78" s="344"/>
    </row>
    <row r="79" spans="2:4">
      <c r="B79" s="290"/>
      <c r="D79" s="344"/>
    </row>
    <row r="80" spans="2:4">
      <c r="B80" s="290"/>
      <c r="D80" s="344"/>
    </row>
    <row r="81" spans="2:4">
      <c r="B81" s="290"/>
      <c r="D81" s="344"/>
    </row>
    <row r="82" spans="2:4">
      <c r="B82" s="290"/>
      <c r="D82" s="344"/>
    </row>
    <row r="83" spans="2:4">
      <c r="B83" s="290"/>
      <c r="D83" s="344"/>
    </row>
    <row r="84" spans="2:4">
      <c r="B84" s="290"/>
      <c r="D84" s="344"/>
    </row>
    <row r="85" spans="2:4">
      <c r="B85" s="290"/>
      <c r="D85" s="344"/>
    </row>
    <row r="86" spans="2:4">
      <c r="B86" s="290"/>
      <c r="D86" s="344"/>
    </row>
    <row r="87" spans="2:4">
      <c r="B87" s="290"/>
      <c r="D87" s="344"/>
    </row>
    <row r="88" spans="2:4">
      <c r="B88" s="290"/>
      <c r="D88" s="344"/>
    </row>
    <row r="89" spans="2:4">
      <c r="B89" s="290"/>
      <c r="D89" s="344"/>
    </row>
    <row r="90" spans="2:4">
      <c r="B90" s="290"/>
      <c r="D90" s="344"/>
    </row>
    <row r="91" spans="2:4">
      <c r="B91" s="290"/>
      <c r="D91" s="344"/>
    </row>
    <row r="92" spans="2:4">
      <c r="B92" s="290"/>
      <c r="D92" s="344"/>
    </row>
    <row r="93" spans="2:4">
      <c r="B93" s="290"/>
      <c r="D93" s="344"/>
    </row>
    <row r="94" spans="2:4">
      <c r="B94" s="290"/>
      <c r="D94" s="344"/>
    </row>
    <row r="95" spans="2:4">
      <c r="B95" s="290"/>
      <c r="D95" s="344"/>
    </row>
    <row r="96" spans="2:4">
      <c r="B96" s="290"/>
      <c r="D96" s="344"/>
    </row>
    <row r="97" spans="2:4">
      <c r="B97" s="290"/>
      <c r="D97" s="344"/>
    </row>
    <row r="98" spans="2:4">
      <c r="B98" s="290"/>
      <c r="D98" s="344"/>
    </row>
    <row r="99" spans="2:4">
      <c r="B99" s="290"/>
      <c r="D99" s="344"/>
    </row>
    <row r="100" spans="2:4">
      <c r="B100" s="290"/>
      <c r="D100" s="344"/>
    </row>
    <row r="101" spans="2:4">
      <c r="B101" s="290"/>
      <c r="D101" s="344"/>
    </row>
    <row r="102" spans="2:4">
      <c r="B102" s="290"/>
      <c r="D102" s="344"/>
    </row>
    <row r="103" spans="2:4">
      <c r="B103" s="290"/>
      <c r="D103" s="344"/>
    </row>
    <row r="104" spans="2:4">
      <c r="B104" s="290"/>
      <c r="D104" s="344"/>
    </row>
    <row r="105" spans="2:4">
      <c r="B105" s="290"/>
      <c r="D105" s="344"/>
    </row>
    <row r="106" spans="2:4">
      <c r="B106" s="290"/>
      <c r="D106" s="344"/>
    </row>
    <row r="107" spans="2:4">
      <c r="B107" s="290"/>
      <c r="D107" s="344"/>
    </row>
    <row r="108" spans="2:4">
      <c r="B108" s="290"/>
      <c r="D108" s="344"/>
    </row>
    <row r="109" spans="2:4">
      <c r="B109" s="290"/>
      <c r="D109" s="344"/>
    </row>
    <row r="110" spans="2:4">
      <c r="B110" s="290"/>
      <c r="D110" s="344"/>
    </row>
    <row r="111" spans="2:4">
      <c r="B111" s="290"/>
      <c r="D111" s="344"/>
    </row>
    <row r="112" spans="2:4">
      <c r="B112" s="290"/>
      <c r="D112" s="344"/>
    </row>
    <row r="113" spans="2:4">
      <c r="B113" s="290"/>
      <c r="D113" s="344"/>
    </row>
    <row r="114" spans="2:4">
      <c r="B114" s="290"/>
      <c r="D114" s="344"/>
    </row>
    <row r="115" spans="2:4">
      <c r="B115" s="290"/>
      <c r="D115" s="344"/>
    </row>
    <row r="116" spans="2:4">
      <c r="B116" s="290"/>
      <c r="D116" s="344"/>
    </row>
    <row r="117" spans="2:4">
      <c r="B117" s="290"/>
      <c r="D117" s="344"/>
    </row>
    <row r="118" spans="2:4">
      <c r="B118" s="290"/>
      <c r="D118" s="344"/>
    </row>
    <row r="119" spans="2:4">
      <c r="B119" s="290"/>
      <c r="D119" s="344"/>
    </row>
    <row r="120" spans="2:4">
      <c r="B120" s="290"/>
      <c r="D120" s="344"/>
    </row>
    <row r="121" spans="2:4">
      <c r="B121" s="290"/>
      <c r="D121" s="344"/>
    </row>
    <row r="122" spans="2:4">
      <c r="B122" s="290"/>
      <c r="D122" s="344"/>
    </row>
    <row r="123" spans="2:4">
      <c r="B123" s="290"/>
      <c r="D123" s="344"/>
    </row>
    <row r="124" spans="2:4">
      <c r="B124" s="290"/>
      <c r="D124" s="344"/>
    </row>
    <row r="125" spans="2:4">
      <c r="B125" s="290"/>
      <c r="D125" s="344"/>
    </row>
    <row r="126" spans="2:4">
      <c r="B126" s="290"/>
      <c r="D126" s="344"/>
    </row>
    <row r="127" spans="2:4">
      <c r="B127" s="290"/>
      <c r="D127" s="344"/>
    </row>
    <row r="128" spans="2:4">
      <c r="B128" s="290"/>
      <c r="D128" s="344"/>
    </row>
    <row r="129" spans="2:4">
      <c r="B129" s="290"/>
      <c r="D129" s="344"/>
    </row>
    <row r="130" spans="2:4">
      <c r="B130" s="290"/>
      <c r="D130" s="344"/>
    </row>
    <row r="131" spans="2:4">
      <c r="B131" s="290"/>
      <c r="D131" s="344"/>
    </row>
    <row r="132" spans="2:4">
      <c r="B132" s="290"/>
      <c r="D132" s="344"/>
    </row>
    <row r="133" spans="2:4">
      <c r="B133" s="290"/>
      <c r="D133" s="344"/>
    </row>
    <row r="134" spans="2:4">
      <c r="B134" s="290"/>
      <c r="D134" s="344"/>
    </row>
    <row r="135" spans="2:4">
      <c r="B135" s="290"/>
      <c r="D135" s="344"/>
    </row>
    <row r="136" spans="2:4">
      <c r="B136" s="290"/>
      <c r="D136" s="344"/>
    </row>
    <row r="137" spans="2:4">
      <c r="B137" s="290"/>
      <c r="D137" s="344"/>
    </row>
    <row r="138" spans="2:4">
      <c r="B138" s="290"/>
      <c r="D138" s="344"/>
    </row>
    <row r="139" spans="2:4">
      <c r="B139" s="290"/>
      <c r="D139" s="344"/>
    </row>
    <row r="140" spans="2:4">
      <c r="B140" s="290"/>
      <c r="D140" s="344"/>
    </row>
    <row r="141" spans="2:4">
      <c r="B141" s="290"/>
      <c r="D141" s="344"/>
    </row>
    <row r="142" spans="2:4">
      <c r="B142" s="290"/>
      <c r="D142" s="344"/>
    </row>
    <row r="143" spans="2:4">
      <c r="B143" s="290"/>
      <c r="D143" s="344"/>
    </row>
    <row r="144" spans="2:4">
      <c r="B144" s="290"/>
      <c r="D144" s="344"/>
    </row>
    <row r="145" spans="2:4">
      <c r="B145" s="290"/>
      <c r="D145" s="344"/>
    </row>
    <row r="146" spans="2:4">
      <c r="B146" s="290"/>
      <c r="D146" s="344"/>
    </row>
    <row r="147" spans="2:4">
      <c r="B147" s="290"/>
      <c r="D147" s="344"/>
    </row>
    <row r="148" spans="2:4">
      <c r="B148" s="290"/>
      <c r="D148" s="344"/>
    </row>
    <row r="149" spans="2:4">
      <c r="B149" s="290"/>
      <c r="D149" s="344"/>
    </row>
    <row r="150" spans="2:4">
      <c r="B150" s="290"/>
      <c r="D150" s="344"/>
    </row>
    <row r="151" spans="2:4">
      <c r="B151" s="290"/>
      <c r="D151" s="344"/>
    </row>
    <row r="152" spans="2:4">
      <c r="B152" s="290"/>
      <c r="D152" s="344"/>
    </row>
    <row r="153" spans="2:4">
      <c r="B153" s="290"/>
      <c r="D153" s="344"/>
    </row>
    <row r="154" spans="2:4">
      <c r="B154" s="290"/>
      <c r="D154" s="344"/>
    </row>
    <row r="155" spans="2:4">
      <c r="B155" s="290"/>
      <c r="D155" s="344"/>
    </row>
    <row r="156" spans="2:4">
      <c r="B156" s="290"/>
      <c r="D156" s="344"/>
    </row>
    <row r="157" spans="2:4">
      <c r="B157" s="290"/>
      <c r="D157" s="344"/>
    </row>
    <row r="158" spans="2:4">
      <c r="B158" s="290"/>
      <c r="D158" s="344"/>
    </row>
    <row r="159" spans="2:4">
      <c r="B159" s="290"/>
      <c r="D159" s="344"/>
    </row>
    <row r="160" spans="2:4">
      <c r="B160" s="290"/>
      <c r="D160" s="344"/>
    </row>
    <row r="161" spans="2:4">
      <c r="B161" s="290"/>
      <c r="D161" s="344"/>
    </row>
    <row r="162" spans="2:4">
      <c r="B162" s="290"/>
      <c r="D162" s="344"/>
    </row>
    <row r="163" spans="2:4">
      <c r="B163" s="290"/>
      <c r="D163" s="344"/>
    </row>
    <row r="164" spans="2:4">
      <c r="B164" s="290"/>
      <c r="D164" s="344"/>
    </row>
    <row r="165" spans="2:4">
      <c r="B165" s="290"/>
      <c r="D165" s="344"/>
    </row>
    <row r="166" spans="2:4">
      <c r="B166" s="290"/>
      <c r="D166" s="344"/>
    </row>
    <row r="167" spans="2:4">
      <c r="B167" s="290"/>
      <c r="D167" s="344"/>
    </row>
    <row r="168" spans="2:4">
      <c r="B168" s="290"/>
      <c r="D168" s="344"/>
    </row>
    <row r="169" spans="2:4">
      <c r="B169" s="290"/>
      <c r="D169" s="344"/>
    </row>
    <row r="170" spans="2:4">
      <c r="B170" s="290"/>
      <c r="D170" s="344"/>
    </row>
    <row r="171" spans="2:4">
      <c r="B171" s="290"/>
      <c r="D171" s="344"/>
    </row>
    <row r="172" spans="2:4">
      <c r="B172" s="290"/>
      <c r="D172" s="344"/>
    </row>
    <row r="173" spans="2:4">
      <c r="B173" s="290"/>
      <c r="D173" s="344"/>
    </row>
    <row r="174" spans="2:4">
      <c r="B174" s="290"/>
      <c r="D174" s="344"/>
    </row>
    <row r="175" spans="2:4">
      <c r="B175" s="290"/>
      <c r="D175" s="344"/>
    </row>
    <row r="176" spans="2:4">
      <c r="B176" s="290"/>
      <c r="D176" s="344"/>
    </row>
    <row r="177" spans="2:4">
      <c r="B177" s="290"/>
      <c r="D177" s="344"/>
    </row>
    <row r="178" spans="2:4">
      <c r="B178" s="290"/>
      <c r="D178" s="344"/>
    </row>
    <row r="179" spans="2:4">
      <c r="B179" s="290"/>
      <c r="D179" s="344"/>
    </row>
    <row r="180" spans="2:4">
      <c r="B180" s="290"/>
      <c r="D180" s="344"/>
    </row>
    <row r="181" spans="2:4">
      <c r="B181" s="290"/>
      <c r="D181" s="344"/>
    </row>
    <row r="182" spans="2:4">
      <c r="B182" s="290"/>
      <c r="D182" s="344"/>
    </row>
    <row r="183" spans="2:4">
      <c r="B183" s="290"/>
      <c r="D183" s="344"/>
    </row>
    <row r="184" spans="2:4">
      <c r="B184" s="290"/>
      <c r="D184" s="344"/>
    </row>
    <row r="185" spans="2:4">
      <c r="B185" s="290"/>
      <c r="D185" s="344"/>
    </row>
    <row r="186" spans="2:4">
      <c r="B186" s="290"/>
      <c r="D186" s="344"/>
    </row>
    <row r="187" spans="2:4">
      <c r="B187" s="290"/>
      <c r="D187" s="344"/>
    </row>
    <row r="188" spans="2:4">
      <c r="B188" s="290"/>
      <c r="D188" s="344"/>
    </row>
    <row r="189" spans="2:4">
      <c r="B189" s="290"/>
      <c r="D189" s="344"/>
    </row>
    <row r="190" spans="2:4">
      <c r="B190" s="290"/>
      <c r="D190" s="344"/>
    </row>
    <row r="191" spans="2:4">
      <c r="B191" s="290"/>
      <c r="D191" s="344"/>
    </row>
    <row r="192" spans="2:4">
      <c r="B192" s="290"/>
      <c r="D192" s="344"/>
    </row>
    <row r="193" spans="2:4">
      <c r="B193" s="290"/>
      <c r="D193" s="344"/>
    </row>
    <row r="194" spans="2:4">
      <c r="B194" s="290"/>
      <c r="D194" s="344"/>
    </row>
    <row r="195" spans="2:4">
      <c r="B195" s="290"/>
      <c r="D195" s="344"/>
    </row>
    <row r="196" spans="2:4">
      <c r="B196" s="290"/>
      <c r="D196" s="344"/>
    </row>
    <row r="197" spans="2:4">
      <c r="B197" s="290"/>
      <c r="D197" s="344"/>
    </row>
    <row r="198" spans="2:4">
      <c r="B198" s="290"/>
      <c r="D198" s="344"/>
    </row>
    <row r="199" spans="2:4">
      <c r="B199" s="290"/>
      <c r="D199" s="344"/>
    </row>
    <row r="200" spans="2:4">
      <c r="B200" s="290"/>
      <c r="D200" s="344"/>
    </row>
    <row r="201" spans="2:4">
      <c r="B201" s="290"/>
      <c r="D201" s="344"/>
    </row>
    <row r="202" spans="2:4">
      <c r="B202" s="290"/>
      <c r="D202" s="344"/>
    </row>
    <row r="203" spans="2:4">
      <c r="B203" s="290"/>
      <c r="D203" s="344"/>
    </row>
    <row r="204" spans="2:4">
      <c r="B204" s="290"/>
      <c r="D204" s="344"/>
    </row>
    <row r="205" spans="2:4">
      <c r="B205" s="290"/>
      <c r="D205" s="344"/>
    </row>
    <row r="206" spans="2:4">
      <c r="B206" s="290"/>
      <c r="D206" s="344"/>
    </row>
    <row r="207" spans="2:4">
      <c r="B207" s="290"/>
      <c r="D207" s="344"/>
    </row>
    <row r="208" spans="2:4">
      <c r="B208" s="290"/>
      <c r="D208" s="344"/>
    </row>
    <row r="209" spans="2:4">
      <c r="B209" s="290"/>
      <c r="D209" s="344"/>
    </row>
    <row r="210" spans="2:4">
      <c r="B210" s="290"/>
      <c r="D210" s="344"/>
    </row>
    <row r="211" spans="2:4">
      <c r="B211" s="290"/>
      <c r="D211" s="344"/>
    </row>
    <row r="212" spans="2:4">
      <c r="B212" s="290"/>
      <c r="D212" s="344"/>
    </row>
    <row r="213" spans="2:4">
      <c r="B213" s="290"/>
      <c r="D213" s="344"/>
    </row>
    <row r="214" spans="2:4">
      <c r="B214" s="290"/>
      <c r="D214" s="344"/>
    </row>
    <row r="215" spans="2:4">
      <c r="B215" s="290"/>
      <c r="D215" s="344"/>
    </row>
    <row r="216" spans="2:4">
      <c r="B216" s="290"/>
      <c r="D216" s="344"/>
    </row>
    <row r="217" spans="2:4">
      <c r="B217" s="290"/>
      <c r="D217" s="344"/>
    </row>
    <row r="218" spans="2:4">
      <c r="B218" s="290"/>
      <c r="D218" s="344"/>
    </row>
    <row r="219" spans="2:4">
      <c r="B219" s="290"/>
      <c r="D219" s="344"/>
    </row>
    <row r="220" spans="2:4">
      <c r="B220" s="290"/>
      <c r="D220" s="344"/>
    </row>
    <row r="221" spans="2:4">
      <c r="B221" s="290"/>
      <c r="D221" s="344"/>
    </row>
    <row r="222" spans="2:4">
      <c r="B222" s="290"/>
      <c r="D222" s="344"/>
    </row>
    <row r="223" spans="2:4">
      <c r="B223" s="290"/>
      <c r="D223" s="344"/>
    </row>
    <row r="224" spans="2:4">
      <c r="B224" s="290"/>
      <c r="D224" s="344"/>
    </row>
    <row r="225" spans="2:4">
      <c r="B225" s="290"/>
      <c r="D225" s="344"/>
    </row>
    <row r="226" spans="2:4">
      <c r="B226" s="290"/>
      <c r="D226" s="344"/>
    </row>
    <row r="227" spans="2:4">
      <c r="B227" s="290"/>
      <c r="D227" s="344"/>
    </row>
    <row r="228" spans="2:4">
      <c r="B228" s="290"/>
      <c r="D228" s="344"/>
    </row>
    <row r="229" spans="2:4">
      <c r="B229" s="290"/>
      <c r="D229" s="344"/>
    </row>
    <row r="230" spans="2:4">
      <c r="B230" s="290"/>
      <c r="D230" s="344"/>
    </row>
    <row r="231" spans="2:4">
      <c r="B231" s="290"/>
      <c r="D231" s="344"/>
    </row>
    <row r="232" spans="2:4">
      <c r="B232" s="290"/>
      <c r="D232" s="344"/>
    </row>
    <row r="233" spans="2:4">
      <c r="B233" s="290"/>
      <c r="D233" s="344"/>
    </row>
    <row r="234" spans="2:4">
      <c r="B234" s="290"/>
      <c r="D234" s="344"/>
    </row>
    <row r="235" spans="2:4">
      <c r="B235" s="290"/>
      <c r="D235" s="344"/>
    </row>
    <row r="236" spans="2:4">
      <c r="B236" s="290"/>
      <c r="D236" s="344"/>
    </row>
    <row r="237" spans="2:4">
      <c r="B237" s="290"/>
      <c r="D237" s="344"/>
    </row>
    <row r="238" spans="2:4">
      <c r="B238" s="290"/>
      <c r="D238" s="344"/>
    </row>
    <row r="239" spans="2:4">
      <c r="B239" s="290"/>
      <c r="D239" s="344"/>
    </row>
    <row r="240" spans="2:4">
      <c r="B240" s="290"/>
      <c r="D240" s="344"/>
    </row>
    <row r="241" spans="2:4">
      <c r="B241" s="290"/>
      <c r="D241" s="344"/>
    </row>
    <row r="242" spans="2:4">
      <c r="B242" s="290"/>
      <c r="D242" s="344"/>
    </row>
    <row r="243" spans="2:4">
      <c r="B243" s="290"/>
      <c r="D243" s="344"/>
    </row>
    <row r="244" spans="2:4">
      <c r="B244" s="290"/>
      <c r="D244" s="344"/>
    </row>
    <row r="245" spans="2:4">
      <c r="B245" s="290"/>
      <c r="D245" s="344"/>
    </row>
    <row r="246" spans="2:4">
      <c r="B246" s="290"/>
      <c r="D246" s="344"/>
    </row>
    <row r="247" spans="2:4">
      <c r="B247" s="290"/>
      <c r="D247" s="344"/>
    </row>
    <row r="248" spans="2:4">
      <c r="B248" s="290"/>
      <c r="D248" s="344"/>
    </row>
    <row r="249" spans="2:4">
      <c r="B249" s="290"/>
      <c r="D249" s="344"/>
    </row>
    <row r="250" spans="2:4">
      <c r="B250" s="290"/>
      <c r="D250" s="344"/>
    </row>
    <row r="251" spans="2:4">
      <c r="B251" s="290"/>
      <c r="D251" s="344"/>
    </row>
    <row r="252" spans="2:4">
      <c r="B252" s="290"/>
      <c r="D252" s="344"/>
    </row>
    <row r="253" spans="2:4">
      <c r="B253" s="290"/>
      <c r="D253" s="344"/>
    </row>
    <row r="254" spans="2:4">
      <c r="B254" s="290"/>
      <c r="D254" s="344"/>
    </row>
    <row r="255" spans="2:4">
      <c r="B255" s="290"/>
      <c r="D255" s="344"/>
    </row>
    <row r="256" spans="2:4">
      <c r="B256" s="290"/>
      <c r="D256" s="344"/>
    </row>
    <row r="257" spans="2:4">
      <c r="B257" s="290"/>
      <c r="D257" s="344"/>
    </row>
    <row r="258" spans="2:4">
      <c r="B258" s="290"/>
      <c r="D258" s="344"/>
    </row>
    <row r="259" spans="2:4">
      <c r="B259" s="290"/>
      <c r="D259" s="344"/>
    </row>
    <row r="260" spans="2:4">
      <c r="B260" s="290"/>
      <c r="D260" s="344"/>
    </row>
    <row r="261" spans="2:4">
      <c r="B261" s="290"/>
      <c r="D261" s="344"/>
    </row>
    <row r="262" spans="2:4">
      <c r="B262" s="290"/>
      <c r="D262" s="344"/>
    </row>
    <row r="263" spans="2:4">
      <c r="B263" s="290"/>
      <c r="D263" s="344"/>
    </row>
    <row r="264" spans="2:4">
      <c r="B264" s="290"/>
      <c r="D264" s="344"/>
    </row>
    <row r="265" spans="2:4">
      <c r="B265" s="290"/>
      <c r="D265" s="344"/>
    </row>
    <row r="266" spans="2:4">
      <c r="B266" s="290"/>
      <c r="D266" s="344"/>
    </row>
    <row r="267" spans="2:4">
      <c r="B267" s="290"/>
      <c r="D267" s="344"/>
    </row>
    <row r="268" spans="2:4">
      <c r="B268" s="290"/>
      <c r="D268" s="344"/>
    </row>
    <row r="269" spans="2:4">
      <c r="B269" s="290"/>
      <c r="D269" s="344"/>
    </row>
    <row r="270" spans="2:4">
      <c r="B270" s="290"/>
      <c r="D270" s="344"/>
    </row>
    <row r="271" spans="2:4">
      <c r="B271" s="290"/>
      <c r="D271" s="344"/>
    </row>
    <row r="272" spans="2:4">
      <c r="B272" s="290"/>
      <c r="D272" s="344"/>
    </row>
    <row r="273" spans="2:4">
      <c r="B273" s="290"/>
      <c r="D273" s="344"/>
    </row>
    <row r="274" spans="2:4">
      <c r="B274" s="290"/>
      <c r="D274" s="344"/>
    </row>
    <row r="275" spans="2:4">
      <c r="B275" s="290"/>
      <c r="D275" s="344"/>
    </row>
    <row r="276" spans="2:4">
      <c r="B276" s="290"/>
      <c r="D276" s="344"/>
    </row>
    <row r="277" spans="2:4">
      <c r="B277" s="290"/>
      <c r="D277" s="344"/>
    </row>
    <row r="278" spans="2:4">
      <c r="B278" s="290"/>
      <c r="D278" s="344"/>
    </row>
    <row r="279" spans="2:4">
      <c r="B279" s="290"/>
      <c r="D279" s="344"/>
    </row>
    <row r="280" spans="2:4">
      <c r="B280" s="290"/>
      <c r="D280" s="344"/>
    </row>
    <row r="281" spans="2:4">
      <c r="B281" s="290"/>
      <c r="D281" s="344"/>
    </row>
    <row r="282" spans="2:4">
      <c r="B282" s="290"/>
      <c r="D282" s="344"/>
    </row>
    <row r="283" spans="2:4">
      <c r="B283" s="290"/>
      <c r="D283" s="344"/>
    </row>
    <row r="284" spans="2:4">
      <c r="B284" s="290"/>
      <c r="D284" s="344"/>
    </row>
    <row r="285" spans="2:4">
      <c r="B285" s="290"/>
      <c r="D285" s="344"/>
    </row>
    <row r="286" spans="2:4">
      <c r="B286" s="290"/>
      <c r="D286" s="344"/>
    </row>
    <row r="287" spans="2:4">
      <c r="B287" s="290"/>
      <c r="D287" s="344"/>
    </row>
    <row r="288" spans="2:4">
      <c r="B288" s="290"/>
      <c r="D288" s="344"/>
    </row>
    <row r="289" spans="2:4">
      <c r="B289" s="290"/>
      <c r="D289" s="344"/>
    </row>
    <row r="290" spans="2:4">
      <c r="B290" s="290"/>
      <c r="D290" s="344"/>
    </row>
    <row r="291" spans="2:4">
      <c r="B291" s="290"/>
      <c r="D291" s="344"/>
    </row>
    <row r="292" spans="2:4">
      <c r="B292" s="290"/>
      <c r="D292" s="344"/>
    </row>
    <row r="293" spans="2:4">
      <c r="B293" s="290"/>
      <c r="D293" s="344"/>
    </row>
    <row r="294" spans="2:4">
      <c r="B294" s="290"/>
      <c r="D294" s="344"/>
    </row>
    <row r="295" spans="2:4">
      <c r="B295" s="290"/>
      <c r="D295" s="344"/>
    </row>
    <row r="296" spans="2:4">
      <c r="B296" s="290"/>
      <c r="D296" s="344"/>
    </row>
    <row r="297" spans="2:4">
      <c r="B297" s="290"/>
      <c r="D297" s="344"/>
    </row>
    <row r="298" spans="2:4">
      <c r="B298" s="290"/>
      <c r="D298" s="344"/>
    </row>
    <row r="299" spans="2:4">
      <c r="B299" s="290"/>
      <c r="D299" s="344"/>
    </row>
    <row r="300" spans="2:4">
      <c r="B300" s="290"/>
      <c r="D300" s="344"/>
    </row>
    <row r="301" spans="2:4">
      <c r="B301" s="290"/>
      <c r="D301" s="344"/>
    </row>
    <row r="302" spans="2:4">
      <c r="B302" s="290"/>
      <c r="D302" s="344"/>
    </row>
    <row r="303" spans="2:4">
      <c r="B303" s="290"/>
      <c r="D303" s="344"/>
    </row>
    <row r="304" spans="2:4">
      <c r="B304" s="290"/>
      <c r="D304" s="344"/>
    </row>
    <row r="305" spans="2:4">
      <c r="B305" s="290"/>
      <c r="D305" s="344"/>
    </row>
    <row r="306" spans="2:4">
      <c r="B306" s="290"/>
      <c r="D306" s="344"/>
    </row>
    <row r="307" spans="2:4">
      <c r="B307" s="290"/>
      <c r="D307" s="344"/>
    </row>
    <row r="308" spans="2:4">
      <c r="B308" s="290"/>
      <c r="D308" s="344"/>
    </row>
    <row r="309" spans="2:4">
      <c r="B309" s="290"/>
      <c r="D309" s="344"/>
    </row>
    <row r="310" spans="2:4">
      <c r="B310" s="290"/>
      <c r="D310" s="344"/>
    </row>
    <row r="311" spans="2:4">
      <c r="B311" s="290"/>
      <c r="D311" s="344"/>
    </row>
    <row r="312" spans="2:4">
      <c r="B312" s="290"/>
      <c r="D312" s="344"/>
    </row>
    <row r="313" spans="2:4">
      <c r="B313" s="290"/>
      <c r="D313" s="344"/>
    </row>
    <row r="314" spans="2:4">
      <c r="B314" s="290"/>
      <c r="D314" s="344"/>
    </row>
    <row r="315" spans="2:4">
      <c r="B315" s="290"/>
      <c r="D315" s="344"/>
    </row>
    <row r="316" spans="2:4">
      <c r="B316" s="290"/>
      <c r="D316" s="344"/>
    </row>
    <row r="317" spans="2:4">
      <c r="B317" s="290"/>
      <c r="D317" s="344"/>
    </row>
    <row r="318" spans="2:4">
      <c r="B318" s="290"/>
      <c r="D318" s="344"/>
    </row>
    <row r="319" spans="2:4">
      <c r="B319" s="290"/>
      <c r="D319" s="344"/>
    </row>
    <row r="320" spans="2:4">
      <c r="B320" s="290"/>
      <c r="D320" s="344"/>
    </row>
    <row r="321" spans="2:4">
      <c r="B321" s="290"/>
      <c r="D321" s="344"/>
    </row>
    <row r="322" spans="2:4">
      <c r="B322" s="290"/>
      <c r="D322" s="344"/>
    </row>
    <row r="323" spans="2:4">
      <c r="B323" s="290"/>
      <c r="D323" s="344"/>
    </row>
    <row r="324" spans="2:4">
      <c r="B324" s="290"/>
      <c r="D324" s="344"/>
    </row>
    <row r="325" spans="2:4">
      <c r="B325" s="290"/>
      <c r="D325" s="344"/>
    </row>
    <row r="326" spans="2:4">
      <c r="B326" s="290"/>
      <c r="D326" s="344"/>
    </row>
    <row r="327" spans="2:4">
      <c r="B327" s="290"/>
      <c r="D327" s="344"/>
    </row>
    <row r="328" spans="2:4">
      <c r="B328" s="290"/>
      <c r="D328" s="344"/>
    </row>
    <row r="329" spans="2:4">
      <c r="B329" s="290"/>
      <c r="D329" s="344"/>
    </row>
    <row r="330" spans="2:4">
      <c r="B330" s="290"/>
      <c r="D330" s="344"/>
    </row>
    <row r="331" spans="2:4">
      <c r="B331" s="290"/>
      <c r="D331" s="344"/>
    </row>
    <row r="332" spans="2:4">
      <c r="B332" s="290"/>
      <c r="D332" s="344"/>
    </row>
    <row r="333" spans="2:4">
      <c r="B333" s="290"/>
      <c r="D333" s="344"/>
    </row>
    <row r="334" spans="2:4">
      <c r="B334" s="290"/>
      <c r="D334" s="344"/>
    </row>
    <row r="335" spans="2:4">
      <c r="B335" s="290"/>
      <c r="D335" s="344"/>
    </row>
    <row r="336" spans="2:4">
      <c r="B336" s="290"/>
      <c r="D336" s="344"/>
    </row>
    <row r="337" spans="2:4">
      <c r="B337" s="290"/>
      <c r="D337" s="344"/>
    </row>
    <row r="338" spans="2:4">
      <c r="B338" s="290"/>
      <c r="D338" s="344"/>
    </row>
    <row r="339" spans="2:4">
      <c r="B339" s="290"/>
      <c r="D339" s="344"/>
    </row>
    <row r="340" spans="2:4">
      <c r="B340" s="290"/>
      <c r="D340" s="344"/>
    </row>
    <row r="341" spans="2:4">
      <c r="B341" s="290"/>
      <c r="D341" s="344"/>
    </row>
    <row r="342" spans="2:4">
      <c r="B342" s="290"/>
      <c r="D342" s="344"/>
    </row>
    <row r="343" spans="2:4">
      <c r="B343" s="290"/>
      <c r="D343" s="344"/>
    </row>
    <row r="344" spans="2:4">
      <c r="B344" s="290"/>
      <c r="D344" s="344"/>
    </row>
    <row r="345" spans="2:4">
      <c r="B345" s="290"/>
      <c r="D345" s="344"/>
    </row>
    <row r="346" spans="2:4">
      <c r="B346" s="290"/>
      <c r="D346" s="344"/>
    </row>
    <row r="347" spans="2:4">
      <c r="B347" s="290"/>
      <c r="D347" s="344"/>
    </row>
    <row r="348" spans="2:4">
      <c r="B348" s="290"/>
      <c r="D348" s="344"/>
    </row>
    <row r="349" spans="2:4">
      <c r="B349" s="290"/>
      <c r="D349" s="344"/>
    </row>
    <row r="350" spans="2:4">
      <c r="B350" s="290"/>
      <c r="D350" s="344"/>
    </row>
    <row r="351" spans="2:4">
      <c r="B351" s="290"/>
      <c r="D351" s="344"/>
    </row>
    <row r="352" spans="2:4">
      <c r="B352" s="290"/>
      <c r="D352" s="344"/>
    </row>
    <row r="353" spans="2:4">
      <c r="B353" s="290"/>
      <c r="D353" s="344"/>
    </row>
    <row r="354" spans="2:4">
      <c r="B354" s="290"/>
      <c r="D354" s="344"/>
    </row>
    <row r="355" spans="2:4">
      <c r="B355" s="290"/>
      <c r="D355" s="344"/>
    </row>
    <row r="356" spans="2:4">
      <c r="B356" s="290"/>
      <c r="D356" s="344"/>
    </row>
    <row r="357" spans="2:4">
      <c r="B357" s="290"/>
      <c r="D357" s="344"/>
    </row>
    <row r="358" spans="2:4">
      <c r="B358" s="290"/>
      <c r="D358" s="344"/>
    </row>
    <row r="359" spans="2:4">
      <c r="B359" s="290"/>
      <c r="D359" s="344"/>
    </row>
    <row r="360" spans="2:4">
      <c r="B360" s="290"/>
      <c r="D360" s="344"/>
    </row>
    <row r="361" spans="2:4">
      <c r="B361" s="290"/>
      <c r="D361" s="344"/>
    </row>
    <row r="362" spans="2:4">
      <c r="B362" s="290"/>
      <c r="D362" s="344"/>
    </row>
    <row r="363" spans="2:4">
      <c r="B363" s="290"/>
      <c r="D363" s="344"/>
    </row>
    <row r="364" spans="2:4">
      <c r="B364" s="290"/>
      <c r="D364" s="344"/>
    </row>
    <row r="365" spans="2:4">
      <c r="B365" s="290"/>
      <c r="D365" s="344"/>
    </row>
    <row r="366" spans="2:4">
      <c r="B366" s="290"/>
      <c r="D366" s="344"/>
    </row>
    <row r="367" spans="2:4">
      <c r="B367" s="290"/>
      <c r="D367" s="344"/>
    </row>
    <row r="368" spans="2:4">
      <c r="B368" s="290"/>
      <c r="D368" s="344"/>
    </row>
    <row r="369" spans="2:4">
      <c r="B369" s="290"/>
      <c r="D369" s="344"/>
    </row>
    <row r="370" spans="2:4">
      <c r="B370" s="290"/>
      <c r="D370" s="344"/>
    </row>
    <row r="371" spans="2:4">
      <c r="B371" s="290"/>
      <c r="D371" s="344"/>
    </row>
    <row r="372" spans="2:4">
      <c r="B372" s="290"/>
      <c r="D372" s="344"/>
    </row>
    <row r="373" spans="2:4">
      <c r="B373" s="290"/>
      <c r="D373" s="344"/>
    </row>
    <row r="374" spans="2:4">
      <c r="B374" s="290"/>
      <c r="D374" s="344"/>
    </row>
    <row r="375" spans="2:4">
      <c r="B375" s="290"/>
      <c r="D375" s="344"/>
    </row>
    <row r="376" spans="2:4">
      <c r="B376" s="290"/>
      <c r="D376" s="344"/>
    </row>
    <row r="377" spans="2:4">
      <c r="B377" s="290"/>
      <c r="D377" s="344"/>
    </row>
    <row r="378" spans="2:4">
      <c r="B378" s="290"/>
      <c r="D378" s="344"/>
    </row>
    <row r="379" spans="2:4">
      <c r="B379" s="290"/>
      <c r="D379" s="344"/>
    </row>
    <row r="380" spans="2:4">
      <c r="B380" s="290"/>
      <c r="D380" s="344"/>
    </row>
    <row r="381" spans="2:4">
      <c r="B381" s="290"/>
      <c r="D381" s="344"/>
    </row>
    <row r="382" spans="2:4">
      <c r="B382" s="290"/>
      <c r="D382" s="344"/>
    </row>
    <row r="383" spans="2:4">
      <c r="B383" s="290"/>
      <c r="D383" s="344"/>
    </row>
    <row r="384" spans="2:4">
      <c r="B384" s="290"/>
      <c r="D384" s="344"/>
    </row>
    <row r="385" spans="2:4">
      <c r="B385" s="290"/>
      <c r="D385" s="344"/>
    </row>
    <row r="386" spans="2:4">
      <c r="B386" s="290"/>
      <c r="D386" s="344"/>
    </row>
    <row r="387" spans="2:4">
      <c r="B387" s="290"/>
      <c r="D387" s="344"/>
    </row>
    <row r="388" spans="2:4">
      <c r="B388" s="290"/>
      <c r="D388" s="344"/>
    </row>
    <row r="389" spans="2:4">
      <c r="B389" s="290"/>
      <c r="D389" s="344"/>
    </row>
    <row r="390" spans="2:4">
      <c r="B390" s="290"/>
      <c r="D390" s="344"/>
    </row>
    <row r="391" spans="2:4">
      <c r="B391" s="290"/>
      <c r="D391" s="344"/>
    </row>
    <row r="392" spans="2:4">
      <c r="B392" s="290"/>
      <c r="D392" s="344"/>
    </row>
    <row r="393" spans="2:4">
      <c r="B393" s="290"/>
      <c r="D393" s="344"/>
    </row>
    <row r="394" spans="2:4">
      <c r="B394" s="290"/>
      <c r="D394" s="344"/>
    </row>
    <row r="395" spans="2:4">
      <c r="B395" s="290"/>
      <c r="D395" s="344"/>
    </row>
    <row r="396" spans="2:4">
      <c r="B396" s="290"/>
      <c r="D396" s="344"/>
    </row>
    <row r="397" spans="2:4">
      <c r="B397" s="290"/>
      <c r="D397" s="344"/>
    </row>
    <row r="398" spans="2:4">
      <c r="B398" s="290"/>
      <c r="D398" s="344"/>
    </row>
    <row r="399" spans="2:4">
      <c r="B399" s="290"/>
      <c r="D399" s="344"/>
    </row>
    <row r="400" spans="2:4">
      <c r="B400" s="290"/>
      <c r="D400" s="344"/>
    </row>
    <row r="401" spans="2:4">
      <c r="B401" s="290"/>
      <c r="D401" s="344"/>
    </row>
    <row r="402" spans="2:4">
      <c r="B402" s="290"/>
      <c r="D402" s="344"/>
    </row>
    <row r="403" spans="2:4">
      <c r="B403" s="290"/>
      <c r="D403" s="344"/>
    </row>
    <row r="404" spans="2:4">
      <c r="B404" s="290"/>
      <c r="D404" s="344"/>
    </row>
    <row r="405" spans="2:4">
      <c r="B405" s="290"/>
      <c r="D405" s="344"/>
    </row>
    <row r="406" spans="2:4">
      <c r="B406" s="290"/>
      <c r="D406" s="344"/>
    </row>
    <row r="407" spans="2:4">
      <c r="B407" s="290"/>
      <c r="D407" s="344"/>
    </row>
    <row r="408" spans="2:4">
      <c r="B408" s="290"/>
      <c r="D408" s="344"/>
    </row>
    <row r="409" spans="2:4">
      <c r="B409" s="290"/>
      <c r="D409" s="344"/>
    </row>
    <row r="410" spans="2:4">
      <c r="B410" s="290"/>
      <c r="D410" s="344"/>
    </row>
    <row r="411" spans="2:4">
      <c r="B411" s="290"/>
      <c r="D411" s="344"/>
    </row>
    <row r="412" spans="2:4">
      <c r="B412" s="290"/>
      <c r="D412" s="344"/>
    </row>
    <row r="413" spans="2:4">
      <c r="B413" s="290"/>
      <c r="D413" s="344"/>
    </row>
    <row r="414" spans="2:4">
      <c r="B414" s="290"/>
      <c r="D414" s="344"/>
    </row>
    <row r="415" spans="2:4">
      <c r="B415" s="290"/>
      <c r="D415" s="344"/>
    </row>
    <row r="416" spans="2:4">
      <c r="B416" s="290"/>
      <c r="D416" s="344"/>
    </row>
    <row r="417" spans="2:4">
      <c r="B417" s="290"/>
      <c r="D417" s="344"/>
    </row>
    <row r="418" spans="2:4">
      <c r="B418" s="290"/>
      <c r="D418" s="344"/>
    </row>
    <row r="419" spans="2:4">
      <c r="B419" s="290"/>
      <c r="D419" s="344"/>
    </row>
    <row r="420" spans="2:4">
      <c r="B420" s="290"/>
      <c r="D420" s="344"/>
    </row>
    <row r="421" spans="2:4">
      <c r="B421" s="290"/>
      <c r="D421" s="344"/>
    </row>
    <row r="422" spans="2:4">
      <c r="B422" s="290"/>
      <c r="D422" s="344"/>
    </row>
    <row r="423" spans="2:4">
      <c r="B423" s="290"/>
      <c r="D423" s="344"/>
    </row>
    <row r="424" spans="2:4">
      <c r="B424" s="290"/>
      <c r="D424" s="344"/>
    </row>
    <row r="425" spans="2:4">
      <c r="B425" s="290"/>
      <c r="D425" s="344"/>
    </row>
    <row r="426" spans="2:4">
      <c r="B426" s="290"/>
      <c r="D426" s="344"/>
    </row>
    <row r="427" spans="2:4">
      <c r="B427" s="290"/>
      <c r="D427" s="344"/>
    </row>
    <row r="428" spans="2:4">
      <c r="B428" s="290"/>
      <c r="D428" s="344"/>
    </row>
    <row r="429" spans="2:4">
      <c r="B429" s="290"/>
      <c r="D429" s="344"/>
    </row>
    <row r="430" spans="2:4">
      <c r="B430" s="290"/>
      <c r="D430" s="344"/>
    </row>
    <row r="431" spans="2:4">
      <c r="B431" s="290"/>
      <c r="D431" s="344"/>
    </row>
    <row r="432" spans="2:4">
      <c r="B432" s="290"/>
      <c r="D432" s="344"/>
    </row>
    <row r="433" spans="2:4">
      <c r="B433" s="290"/>
      <c r="D433" s="344"/>
    </row>
    <row r="434" spans="2:4">
      <c r="B434" s="290"/>
      <c r="D434" s="344"/>
    </row>
    <row r="435" spans="2:4">
      <c r="B435" s="290"/>
      <c r="D435" s="344"/>
    </row>
    <row r="436" spans="2:4">
      <c r="B436" s="290"/>
      <c r="D436" s="344"/>
    </row>
    <row r="437" spans="2:4">
      <c r="B437" s="290"/>
      <c r="D437" s="344"/>
    </row>
    <row r="438" spans="2:4">
      <c r="B438" s="290"/>
      <c r="D438" s="344"/>
    </row>
    <row r="439" spans="2:4">
      <c r="B439" s="290"/>
      <c r="D439" s="344"/>
    </row>
    <row r="440" spans="2:4">
      <c r="B440" s="290"/>
      <c r="D440" s="344"/>
    </row>
    <row r="441" spans="2:4">
      <c r="B441" s="290"/>
      <c r="D441" s="344"/>
    </row>
    <row r="442" spans="2:4">
      <c r="B442" s="290"/>
      <c r="D442" s="344"/>
    </row>
    <row r="443" spans="2:4">
      <c r="B443" s="290"/>
      <c r="D443" s="344"/>
    </row>
    <row r="444" spans="2:4">
      <c r="B444" s="290"/>
      <c r="D444" s="344"/>
    </row>
    <row r="445" spans="2:4">
      <c r="B445" s="290"/>
      <c r="D445" s="344"/>
    </row>
    <row r="446" spans="2:4">
      <c r="B446" s="290"/>
      <c r="D446" s="344"/>
    </row>
    <row r="447" spans="2:4">
      <c r="B447" s="290"/>
      <c r="D447" s="344"/>
    </row>
    <row r="448" spans="2:4">
      <c r="B448" s="290"/>
      <c r="D448" s="344"/>
    </row>
    <row r="449" spans="2:4">
      <c r="B449" s="290"/>
      <c r="D449" s="344"/>
    </row>
    <row r="450" spans="2:4">
      <c r="B450" s="290"/>
      <c r="D450" s="344"/>
    </row>
    <row r="451" spans="2:4">
      <c r="B451" s="290"/>
      <c r="D451" s="344"/>
    </row>
    <row r="452" spans="2:4">
      <c r="B452" s="290"/>
      <c r="D452" s="344"/>
    </row>
    <row r="453" spans="2:4">
      <c r="B453" s="290"/>
      <c r="D453" s="344"/>
    </row>
    <row r="454" spans="2:4">
      <c r="B454" s="290"/>
      <c r="D454" s="344"/>
    </row>
    <row r="455" spans="2:4">
      <c r="B455" s="290"/>
      <c r="D455" s="344"/>
    </row>
    <row r="456" spans="2:4">
      <c r="B456" s="290"/>
      <c r="D456" s="344"/>
    </row>
    <row r="457" spans="2:4">
      <c r="B457" s="290"/>
      <c r="D457" s="344"/>
    </row>
    <row r="458" spans="2:4">
      <c r="B458" s="290"/>
      <c r="D458" s="344"/>
    </row>
    <row r="459" spans="2:4">
      <c r="B459" s="290"/>
      <c r="D459" s="344"/>
    </row>
    <row r="460" spans="2:4">
      <c r="B460" s="290"/>
      <c r="D460" s="344"/>
    </row>
    <row r="461" spans="2:4">
      <c r="B461" s="290"/>
      <c r="D461" s="344"/>
    </row>
    <row r="462" spans="2:4">
      <c r="B462" s="290"/>
      <c r="D462" s="344"/>
    </row>
    <row r="463" spans="2:4">
      <c r="B463" s="290"/>
      <c r="D463" s="344"/>
    </row>
    <row r="464" spans="2:4">
      <c r="B464" s="290"/>
      <c r="D464" s="344"/>
    </row>
    <row r="465" spans="2:4">
      <c r="B465" s="290"/>
      <c r="D465" s="344"/>
    </row>
    <row r="466" spans="2:4">
      <c r="B466" s="290"/>
      <c r="D466" s="344"/>
    </row>
    <row r="467" spans="2:4">
      <c r="B467" s="290"/>
      <c r="D467" s="344"/>
    </row>
    <row r="468" spans="2:4">
      <c r="B468" s="290"/>
      <c r="D468" s="344"/>
    </row>
    <row r="469" spans="2:4">
      <c r="B469" s="290"/>
      <c r="D469" s="344"/>
    </row>
    <row r="470" spans="2:4">
      <c r="B470" s="290"/>
      <c r="D470" s="344"/>
    </row>
    <row r="471" spans="2:4">
      <c r="B471" s="290"/>
      <c r="D471" s="344"/>
    </row>
    <row r="472" spans="2:4">
      <c r="B472" s="290"/>
      <c r="D472" s="344"/>
    </row>
    <row r="473" spans="2:4">
      <c r="B473" s="290"/>
      <c r="D473" s="344"/>
    </row>
    <row r="474" spans="2:4">
      <c r="B474" s="290"/>
      <c r="D474" s="344"/>
    </row>
    <row r="475" spans="2:4">
      <c r="B475" s="290"/>
      <c r="D475" s="344"/>
    </row>
    <row r="476" spans="2:4">
      <c r="B476" s="290"/>
      <c r="D476" s="344"/>
    </row>
    <row r="477" spans="2:4">
      <c r="B477" s="290"/>
      <c r="D477" s="344"/>
    </row>
    <row r="478" spans="2:4">
      <c r="B478" s="290"/>
      <c r="D478" s="344"/>
    </row>
    <row r="479" spans="2:4">
      <c r="B479" s="290"/>
      <c r="D479" s="344"/>
    </row>
    <row r="480" spans="2:4">
      <c r="B480" s="290"/>
      <c r="D480" s="344"/>
    </row>
    <row r="481" spans="2:4">
      <c r="B481" s="290"/>
      <c r="D481" s="344"/>
    </row>
    <row r="482" spans="2:4">
      <c r="B482" s="290"/>
      <c r="D482" s="344"/>
    </row>
    <row r="483" spans="2:4">
      <c r="B483" s="290"/>
      <c r="D483" s="344"/>
    </row>
    <row r="484" spans="2:4">
      <c r="B484" s="290"/>
      <c r="D484" s="344"/>
    </row>
    <row r="485" spans="2:4">
      <c r="B485" s="290"/>
      <c r="D485" s="344"/>
    </row>
    <row r="486" spans="2:4">
      <c r="B486" s="290"/>
      <c r="D486" s="344"/>
    </row>
    <row r="487" spans="2:4">
      <c r="B487" s="290"/>
      <c r="D487" s="344"/>
    </row>
    <row r="488" spans="2:4">
      <c r="B488" s="290"/>
      <c r="D488" s="344"/>
    </row>
    <row r="489" spans="2:4">
      <c r="B489" s="290"/>
      <c r="D489" s="344"/>
    </row>
    <row r="490" spans="2:4">
      <c r="B490" s="290"/>
      <c r="D490" s="344"/>
    </row>
    <row r="491" spans="2:4">
      <c r="B491" s="290"/>
      <c r="D491" s="344"/>
    </row>
    <row r="492" spans="2:4">
      <c r="B492" s="290"/>
      <c r="D492" s="344"/>
    </row>
    <row r="493" spans="2:4">
      <c r="B493" s="290"/>
      <c r="D493" s="344"/>
    </row>
    <row r="494" spans="2:4">
      <c r="B494" s="290"/>
      <c r="D494" s="344"/>
    </row>
    <row r="495" spans="2:4">
      <c r="B495" s="290"/>
      <c r="D495" s="344"/>
    </row>
    <row r="496" spans="2:4">
      <c r="B496" s="290"/>
      <c r="D496" s="344"/>
    </row>
    <row r="497" spans="2:4">
      <c r="B497" s="290"/>
      <c r="D497" s="344"/>
    </row>
    <row r="498" spans="2:4">
      <c r="B498" s="290"/>
      <c r="D498" s="344"/>
    </row>
    <row r="499" spans="2:4">
      <c r="B499" s="290"/>
      <c r="D499" s="344"/>
    </row>
    <row r="500" spans="2:4">
      <c r="B500" s="290"/>
      <c r="D500" s="344"/>
    </row>
    <row r="501" spans="2:4">
      <c r="B501" s="290"/>
      <c r="D501" s="344"/>
    </row>
    <row r="502" spans="2:4">
      <c r="B502" s="290"/>
      <c r="D502" s="344"/>
    </row>
    <row r="503" spans="2:4">
      <c r="B503" s="290"/>
      <c r="D503" s="344"/>
    </row>
    <row r="504" spans="2:4">
      <c r="B504" s="290"/>
      <c r="D504" s="344"/>
    </row>
    <row r="505" spans="2:4">
      <c r="B505" s="290"/>
      <c r="D505" s="344"/>
    </row>
    <row r="506" spans="2:4">
      <c r="B506" s="290"/>
      <c r="D506" s="344"/>
    </row>
    <row r="507" spans="2:4">
      <c r="B507" s="290"/>
      <c r="D507" s="344"/>
    </row>
    <row r="508" spans="2:4">
      <c r="B508" s="290"/>
      <c r="D508" s="344"/>
    </row>
    <row r="509" spans="2:4">
      <c r="B509" s="290"/>
      <c r="D509" s="344"/>
    </row>
    <row r="510" spans="2:4">
      <c r="B510" s="290"/>
      <c r="D510" s="344"/>
    </row>
    <row r="511" spans="2:4">
      <c r="B511" s="290"/>
      <c r="D511" s="344"/>
    </row>
    <row r="512" spans="2:4">
      <c r="B512" s="290"/>
      <c r="D512" s="344"/>
    </row>
    <row r="513" spans="2:4">
      <c r="B513" s="290"/>
      <c r="D513" s="344"/>
    </row>
    <row r="514" spans="2:4">
      <c r="B514" s="290"/>
      <c r="D514" s="344"/>
    </row>
    <row r="515" spans="2:4">
      <c r="B515" s="290"/>
      <c r="D515" s="344"/>
    </row>
    <row r="516" spans="2:4">
      <c r="B516" s="290"/>
      <c r="D516" s="344"/>
    </row>
    <row r="517" spans="2:4">
      <c r="B517" s="290"/>
      <c r="D517" s="344"/>
    </row>
    <row r="518" spans="2:4">
      <c r="B518" s="290"/>
      <c r="D518" s="344"/>
    </row>
    <row r="519" spans="2:4">
      <c r="B519" s="290"/>
      <c r="D519" s="344"/>
    </row>
    <row r="520" spans="2:4">
      <c r="B520" s="290"/>
      <c r="D520" s="344"/>
    </row>
    <row r="521" spans="2:4">
      <c r="B521" s="290"/>
      <c r="D521" s="344"/>
    </row>
    <row r="522" spans="2:4">
      <c r="B522" s="290"/>
      <c r="D522" s="344"/>
    </row>
    <row r="523" spans="2:4">
      <c r="B523" s="290"/>
      <c r="D523" s="344"/>
    </row>
    <row r="524" spans="2:4">
      <c r="B524" s="290"/>
      <c r="D524" s="344"/>
    </row>
    <row r="525" spans="2:4">
      <c r="B525" s="290"/>
      <c r="D525" s="344"/>
    </row>
    <row r="526" spans="2:4">
      <c r="B526" s="290"/>
      <c r="D526" s="344"/>
    </row>
    <row r="527" spans="2:4">
      <c r="B527" s="290"/>
      <c r="D527" s="344"/>
    </row>
    <row r="528" spans="2:4">
      <c r="B528" s="290"/>
      <c r="D528" s="344"/>
    </row>
    <row r="529" spans="2:4">
      <c r="B529" s="290"/>
      <c r="D529" s="344"/>
    </row>
    <row r="530" spans="2:4">
      <c r="B530" s="290"/>
      <c r="D530" s="344"/>
    </row>
    <row r="531" spans="2:4">
      <c r="B531" s="290"/>
      <c r="D531" s="344"/>
    </row>
    <row r="532" spans="2:4">
      <c r="B532" s="290"/>
      <c r="D532" s="344"/>
    </row>
    <row r="533" spans="2:4">
      <c r="B533" s="290"/>
      <c r="D533" s="344"/>
    </row>
    <row r="534" spans="2:4">
      <c r="B534" s="290"/>
      <c r="D534" s="344"/>
    </row>
    <row r="535" spans="2:4">
      <c r="B535" s="290"/>
      <c r="D535" s="344"/>
    </row>
    <row r="536" spans="2:4">
      <c r="B536" s="290"/>
      <c r="D536" s="344"/>
    </row>
    <row r="537" spans="2:4">
      <c r="B537" s="290"/>
      <c r="D537" s="344"/>
    </row>
    <row r="538" spans="2:4">
      <c r="B538" s="290"/>
      <c r="D538" s="344"/>
    </row>
    <row r="539" spans="2:4">
      <c r="B539" s="290"/>
      <c r="D539" s="344"/>
    </row>
    <row r="540" spans="2:4">
      <c r="B540" s="290"/>
      <c r="D540" s="344"/>
    </row>
    <row r="541" spans="2:4">
      <c r="B541" s="290"/>
      <c r="D541" s="344"/>
    </row>
    <row r="542" spans="2:4">
      <c r="B542" s="290"/>
      <c r="D542" s="344"/>
    </row>
    <row r="543" spans="2:4">
      <c r="B543" s="290"/>
      <c r="D543" s="344"/>
    </row>
    <row r="544" spans="2:4">
      <c r="B544" s="290"/>
      <c r="D544" s="344"/>
    </row>
    <row r="545" spans="2:4">
      <c r="B545" s="290"/>
      <c r="D545" s="344"/>
    </row>
    <row r="546" spans="2:4">
      <c r="B546" s="290"/>
      <c r="D546" s="344"/>
    </row>
    <row r="547" spans="2:4">
      <c r="B547" s="290"/>
      <c r="D547" s="344"/>
    </row>
    <row r="548" spans="2:4">
      <c r="B548" s="290"/>
      <c r="D548" s="344"/>
    </row>
    <row r="549" spans="2:4">
      <c r="B549" s="290"/>
      <c r="D549" s="344"/>
    </row>
    <row r="550" spans="2:4">
      <c r="B550" s="290"/>
      <c r="D550" s="344"/>
    </row>
    <row r="551" spans="2:4">
      <c r="B551" s="290"/>
      <c r="D551" s="344"/>
    </row>
    <row r="552" spans="2:4">
      <c r="B552" s="290"/>
      <c r="D552" s="344"/>
    </row>
    <row r="553" spans="2:4">
      <c r="B553" s="290"/>
      <c r="D553" s="344"/>
    </row>
    <row r="554" spans="2:4">
      <c r="B554" s="290"/>
      <c r="D554" s="344"/>
    </row>
    <row r="555" spans="2:4">
      <c r="B555" s="290"/>
      <c r="D555" s="344"/>
    </row>
    <row r="556" spans="2:4">
      <c r="B556" s="290"/>
      <c r="D556" s="344"/>
    </row>
    <row r="557" spans="2:4">
      <c r="B557" s="290"/>
      <c r="D557" s="344"/>
    </row>
    <row r="558" spans="2:4">
      <c r="B558" s="290"/>
      <c r="D558" s="344"/>
    </row>
    <row r="559" spans="2:4">
      <c r="B559" s="290"/>
      <c r="D559" s="344"/>
    </row>
    <row r="560" spans="2:4">
      <c r="B560" s="290"/>
      <c r="D560" s="344"/>
    </row>
    <row r="561" spans="2:4">
      <c r="B561" s="290"/>
      <c r="D561" s="344"/>
    </row>
    <row r="562" spans="2:4">
      <c r="B562" s="290"/>
      <c r="D562" s="344"/>
    </row>
    <row r="563" spans="2:4">
      <c r="B563" s="290"/>
      <c r="D563" s="344"/>
    </row>
    <row r="564" spans="2:4">
      <c r="B564" s="290"/>
      <c r="D564" s="344"/>
    </row>
    <row r="565" spans="2:4">
      <c r="B565" s="290"/>
      <c r="D565" s="344"/>
    </row>
    <row r="566" spans="2:4">
      <c r="B566" s="290"/>
      <c r="D566" s="344"/>
    </row>
    <row r="567" spans="2:4">
      <c r="B567" s="290"/>
      <c r="D567" s="344"/>
    </row>
    <row r="568" spans="2:4">
      <c r="B568" s="290"/>
      <c r="D568" s="344"/>
    </row>
    <row r="569" spans="2:4">
      <c r="B569" s="290"/>
      <c r="D569" s="344"/>
    </row>
    <row r="570" spans="2:4">
      <c r="B570" s="290"/>
      <c r="D570" s="344"/>
    </row>
    <row r="571" spans="2:4">
      <c r="B571" s="290"/>
      <c r="D571" s="344"/>
    </row>
    <row r="572" spans="2:4">
      <c r="B572" s="290"/>
      <c r="D572" s="344"/>
    </row>
    <row r="573" spans="2:4">
      <c r="B573" s="290"/>
      <c r="D573" s="344"/>
    </row>
    <row r="574" spans="2:4">
      <c r="B574" s="290"/>
      <c r="D574" s="344"/>
    </row>
    <row r="575" spans="2:4">
      <c r="B575" s="290"/>
      <c r="D575" s="344"/>
    </row>
    <row r="576" spans="2:4">
      <c r="B576" s="290"/>
      <c r="D576" s="344"/>
    </row>
    <row r="577" spans="2:4">
      <c r="B577" s="290"/>
      <c r="D577" s="344"/>
    </row>
    <row r="578" spans="2:4">
      <c r="B578" s="290"/>
      <c r="D578" s="344"/>
    </row>
    <row r="579" spans="2:4">
      <c r="B579" s="290"/>
      <c r="D579" s="344"/>
    </row>
    <row r="580" spans="2:4">
      <c r="B580" s="290"/>
      <c r="D580" s="344"/>
    </row>
    <row r="581" spans="2:4">
      <c r="B581" s="290"/>
      <c r="D581" s="344"/>
    </row>
    <row r="582" spans="2:4">
      <c r="B582" s="290"/>
      <c r="D582" s="344"/>
    </row>
    <row r="583" spans="2:4">
      <c r="B583" s="290"/>
      <c r="D583" s="344"/>
    </row>
    <row r="584" spans="2:4">
      <c r="B584" s="290"/>
      <c r="D584" s="344"/>
    </row>
    <row r="585" spans="2:4">
      <c r="B585" s="290"/>
      <c r="D585" s="344"/>
    </row>
    <row r="586" spans="2:4">
      <c r="B586" s="290"/>
      <c r="D586" s="344"/>
    </row>
    <row r="587" spans="2:4">
      <c r="B587" s="290"/>
      <c r="D587" s="344"/>
    </row>
    <row r="588" spans="2:4">
      <c r="B588" s="290"/>
      <c r="D588" s="344"/>
    </row>
    <row r="589" spans="2:4">
      <c r="B589" s="290"/>
      <c r="D589" s="344"/>
    </row>
    <row r="590" spans="2:4">
      <c r="B590" s="290"/>
      <c r="D590" s="344"/>
    </row>
    <row r="591" spans="2:4">
      <c r="B591" s="290"/>
      <c r="D591" s="344"/>
    </row>
    <row r="592" spans="2:4">
      <c r="B592" s="290"/>
      <c r="D592" s="344"/>
    </row>
    <row r="593" spans="2:4">
      <c r="B593" s="290"/>
      <c r="D593" s="344"/>
    </row>
    <row r="594" spans="2:4">
      <c r="B594" s="290"/>
      <c r="D594" s="344"/>
    </row>
    <row r="595" spans="2:4">
      <c r="B595" s="290"/>
      <c r="D595" s="344"/>
    </row>
    <row r="596" spans="2:4">
      <c r="B596" s="290"/>
      <c r="D596" s="344"/>
    </row>
    <row r="597" spans="2:4">
      <c r="B597" s="290"/>
      <c r="D597" s="344"/>
    </row>
    <row r="598" spans="2:4">
      <c r="B598" s="290"/>
      <c r="D598" s="344"/>
    </row>
    <row r="599" spans="2:4">
      <c r="B599" s="290"/>
      <c r="D599" s="344"/>
    </row>
    <row r="600" spans="2:4">
      <c r="B600" s="290"/>
      <c r="D600" s="344"/>
    </row>
    <row r="601" spans="2:4">
      <c r="B601" s="290"/>
      <c r="D601" s="344"/>
    </row>
    <row r="602" spans="2:4">
      <c r="B602" s="290"/>
      <c r="D602" s="344"/>
    </row>
    <row r="603" spans="2:4">
      <c r="B603" s="290"/>
      <c r="D603" s="344"/>
    </row>
    <row r="604" spans="2:4">
      <c r="B604" s="290"/>
      <c r="D604" s="344"/>
    </row>
    <row r="605" spans="2:4">
      <c r="B605" s="290"/>
      <c r="D605" s="344"/>
    </row>
    <row r="606" spans="2:4">
      <c r="B606" s="290"/>
      <c r="D606" s="344"/>
    </row>
    <row r="607" spans="2:4">
      <c r="B607" s="290"/>
      <c r="D607" s="344"/>
    </row>
    <row r="608" spans="2:4">
      <c r="B608" s="290"/>
      <c r="D608" s="344"/>
    </row>
    <row r="609" spans="2:4">
      <c r="B609" s="290"/>
      <c r="D609" s="344"/>
    </row>
    <row r="610" spans="2:4">
      <c r="B610" s="290"/>
      <c r="D610" s="344"/>
    </row>
    <row r="611" spans="2:4">
      <c r="B611" s="290"/>
      <c r="D611" s="344"/>
    </row>
    <row r="612" spans="2:4">
      <c r="B612" s="290"/>
      <c r="D612" s="344"/>
    </row>
    <row r="613" spans="2:4">
      <c r="B613" s="290"/>
      <c r="D613" s="344"/>
    </row>
    <row r="614" spans="2:4">
      <c r="B614" s="290"/>
      <c r="D614" s="344"/>
    </row>
    <row r="615" spans="2:4">
      <c r="B615" s="290"/>
      <c r="D615" s="344"/>
    </row>
    <row r="616" spans="2:4">
      <c r="B616" s="290"/>
      <c r="D616" s="344"/>
    </row>
    <row r="617" spans="2:4">
      <c r="B617" s="290"/>
      <c r="D617" s="344"/>
    </row>
    <row r="618" spans="2:4">
      <c r="B618" s="290"/>
      <c r="D618" s="344"/>
    </row>
    <row r="619" spans="2:4">
      <c r="B619" s="290"/>
      <c r="D619" s="344"/>
    </row>
    <row r="620" spans="2:4">
      <c r="B620" s="290"/>
      <c r="D620" s="344"/>
    </row>
    <row r="621" spans="2:4">
      <c r="B621" s="290"/>
      <c r="D621" s="344"/>
    </row>
    <row r="622" spans="2:4">
      <c r="B622" s="290"/>
      <c r="D622" s="344"/>
    </row>
    <row r="623" spans="2:4">
      <c r="B623" s="290"/>
      <c r="D623" s="344"/>
    </row>
    <row r="624" spans="2:4">
      <c r="B624" s="290"/>
      <c r="D624" s="344"/>
    </row>
    <row r="625" spans="2:4">
      <c r="B625" s="290"/>
      <c r="D625" s="344"/>
    </row>
    <row r="626" spans="2:4">
      <c r="B626" s="290"/>
      <c r="D626" s="344"/>
    </row>
    <row r="627" spans="2:4">
      <c r="B627" s="290"/>
      <c r="D627" s="344"/>
    </row>
    <row r="628" spans="2:4">
      <c r="B628" s="290"/>
      <c r="D628" s="344"/>
    </row>
    <row r="629" spans="2:4">
      <c r="B629" s="290"/>
      <c r="D629" s="344"/>
    </row>
    <row r="630" spans="2:4">
      <c r="B630" s="290"/>
      <c r="D630" s="344"/>
    </row>
    <row r="631" spans="2:4">
      <c r="B631" s="290"/>
      <c r="D631" s="344"/>
    </row>
    <row r="632" spans="2:4">
      <c r="B632" s="290"/>
      <c r="D632" s="344"/>
    </row>
    <row r="633" spans="2:4">
      <c r="B633" s="290"/>
      <c r="D633" s="344"/>
    </row>
    <row r="634" spans="2:4">
      <c r="B634" s="290"/>
      <c r="D634" s="344"/>
    </row>
    <row r="635" spans="2:4">
      <c r="B635" s="290"/>
      <c r="D635" s="344"/>
    </row>
    <row r="636" spans="2:4">
      <c r="B636" s="290"/>
      <c r="D636" s="344"/>
    </row>
    <row r="637" spans="2:4">
      <c r="B637" s="290"/>
      <c r="D637" s="344"/>
    </row>
    <row r="638" spans="2:4">
      <c r="B638" s="290"/>
      <c r="D638" s="344"/>
    </row>
    <row r="639" spans="2:4">
      <c r="B639" s="290"/>
      <c r="D639" s="344"/>
    </row>
    <row r="640" spans="2:4">
      <c r="B640" s="290"/>
      <c r="D640" s="344"/>
    </row>
    <row r="641" spans="2:4">
      <c r="B641" s="290"/>
      <c r="D641" s="344"/>
    </row>
    <row r="642" spans="2:4">
      <c r="B642" s="290"/>
      <c r="D642" s="344"/>
    </row>
    <row r="643" spans="2:4">
      <c r="B643" s="290"/>
      <c r="D643" s="344"/>
    </row>
    <row r="644" spans="2:4">
      <c r="B644" s="290"/>
      <c r="D644" s="344"/>
    </row>
    <row r="645" spans="2:4">
      <c r="B645" s="290"/>
      <c r="D645" s="344"/>
    </row>
    <row r="646" spans="2:4">
      <c r="B646" s="290"/>
      <c r="D646" s="344"/>
    </row>
    <row r="647" spans="2:4">
      <c r="B647" s="290"/>
      <c r="D647" s="344"/>
    </row>
    <row r="648" spans="2:4">
      <c r="B648" s="290"/>
      <c r="D648" s="344"/>
    </row>
    <row r="649" spans="2:4">
      <c r="B649" s="290"/>
      <c r="D649" s="344"/>
    </row>
    <row r="650" spans="2:4">
      <c r="B650" s="290"/>
      <c r="D650" s="344"/>
    </row>
    <row r="651" spans="2:4">
      <c r="B651" s="290"/>
      <c r="D651" s="344"/>
    </row>
    <row r="652" spans="2:4">
      <c r="B652" s="290"/>
      <c r="D652" s="344"/>
    </row>
    <row r="653" spans="2:4">
      <c r="B653" s="290"/>
      <c r="D653" s="344"/>
    </row>
    <row r="654" spans="2:4">
      <c r="B654" s="290"/>
      <c r="D654" s="344"/>
    </row>
    <row r="655" spans="2:4">
      <c r="B655" s="290"/>
      <c r="D655" s="344"/>
    </row>
    <row r="656" spans="2:4">
      <c r="B656" s="290"/>
      <c r="D656" s="344"/>
    </row>
    <row r="657" spans="2:4">
      <c r="B657" s="290"/>
      <c r="D657" s="344"/>
    </row>
    <row r="658" spans="2:4">
      <c r="B658" s="290"/>
      <c r="D658" s="344"/>
    </row>
    <row r="659" spans="2:4">
      <c r="B659" s="290"/>
      <c r="D659" s="344"/>
    </row>
    <row r="660" spans="2:4">
      <c r="B660" s="290"/>
      <c r="D660" s="344"/>
    </row>
    <row r="661" spans="2:4">
      <c r="B661" s="290"/>
      <c r="D661" s="344"/>
    </row>
    <row r="662" spans="2:4">
      <c r="B662" s="290"/>
      <c r="D662" s="344"/>
    </row>
    <row r="663" spans="2:4">
      <c r="B663" s="290"/>
      <c r="D663" s="344"/>
    </row>
    <row r="664" spans="2:4">
      <c r="B664" s="290"/>
      <c r="D664" s="344"/>
    </row>
    <row r="665" spans="2:4">
      <c r="B665" s="290"/>
      <c r="D665" s="344"/>
    </row>
    <row r="666" spans="2:4">
      <c r="B666" s="290"/>
      <c r="D666" s="344"/>
    </row>
    <row r="667" spans="2:4">
      <c r="B667" s="290"/>
      <c r="D667" s="344"/>
    </row>
    <row r="668" spans="2:4">
      <c r="B668" s="290"/>
      <c r="D668" s="344"/>
    </row>
    <row r="669" spans="2:4">
      <c r="B669" s="290"/>
      <c r="D669" s="344"/>
    </row>
    <row r="670" spans="2:4">
      <c r="B670" s="290"/>
      <c r="D670" s="344"/>
    </row>
    <row r="671" spans="2:4">
      <c r="B671" s="290"/>
      <c r="D671" s="344"/>
    </row>
    <row r="672" spans="2:4">
      <c r="B672" s="290"/>
      <c r="D672" s="344"/>
    </row>
    <row r="673" spans="2:4">
      <c r="B673" s="290"/>
      <c r="D673" s="344"/>
    </row>
    <row r="674" spans="2:4">
      <c r="B674" s="290"/>
      <c r="D674" s="344"/>
    </row>
    <row r="675" spans="2:4">
      <c r="B675" s="290"/>
      <c r="D675" s="344"/>
    </row>
    <row r="676" spans="2:4">
      <c r="B676" s="290"/>
      <c r="D676" s="344"/>
    </row>
    <row r="677" spans="2:4">
      <c r="B677" s="290"/>
      <c r="D677" s="344"/>
    </row>
    <row r="678" spans="2:4">
      <c r="B678" s="290"/>
      <c r="D678" s="344"/>
    </row>
    <row r="679" spans="2:4">
      <c r="B679" s="290"/>
      <c r="D679" s="344"/>
    </row>
    <row r="680" spans="2:4">
      <c r="B680" s="290"/>
      <c r="D680" s="344"/>
    </row>
    <row r="681" spans="2:4">
      <c r="B681" s="290"/>
      <c r="D681" s="344"/>
    </row>
    <row r="682" spans="2:4">
      <c r="B682" s="290"/>
      <c r="D682" s="344"/>
    </row>
    <row r="683" spans="2:4">
      <c r="B683" s="290"/>
      <c r="D683" s="344"/>
    </row>
    <row r="684" spans="2:4">
      <c r="B684" s="290"/>
      <c r="D684" s="344"/>
    </row>
    <row r="685" spans="2:4">
      <c r="B685" s="290"/>
      <c r="D685" s="344"/>
    </row>
    <row r="686" spans="2:4">
      <c r="B686" s="290"/>
      <c r="D686" s="344"/>
    </row>
    <row r="687" spans="2:4">
      <c r="B687" s="290"/>
      <c r="D687" s="344"/>
    </row>
    <row r="688" spans="2:4">
      <c r="B688" s="290"/>
      <c r="D688" s="344"/>
    </row>
    <row r="689" spans="2:4">
      <c r="B689" s="290"/>
      <c r="D689" s="344"/>
    </row>
    <row r="690" spans="2:4">
      <c r="B690" s="290"/>
      <c r="D690" s="344"/>
    </row>
    <row r="691" spans="2:4">
      <c r="B691" s="290"/>
      <c r="D691" s="344"/>
    </row>
    <row r="692" spans="2:4">
      <c r="B692" s="290"/>
      <c r="D692" s="344"/>
    </row>
    <row r="693" spans="2:4">
      <c r="B693" s="290"/>
      <c r="D693" s="344"/>
    </row>
    <row r="694" spans="2:4">
      <c r="B694" s="290"/>
      <c r="D694" s="344"/>
    </row>
    <row r="695" spans="2:4">
      <c r="B695" s="290"/>
      <c r="D695" s="344"/>
    </row>
    <row r="696" spans="2:4">
      <c r="B696" s="290"/>
      <c r="D696" s="344"/>
    </row>
    <row r="697" spans="2:4">
      <c r="B697" s="290"/>
      <c r="D697" s="344"/>
    </row>
    <row r="698" spans="2:4">
      <c r="B698" s="290"/>
      <c r="D698" s="344"/>
    </row>
    <row r="699" spans="2:4">
      <c r="B699" s="290"/>
      <c r="D699" s="344"/>
    </row>
    <row r="700" spans="2:4">
      <c r="B700" s="290"/>
      <c r="D700" s="344"/>
    </row>
    <row r="701" spans="2:4">
      <c r="B701" s="290"/>
      <c r="D701" s="344"/>
    </row>
    <row r="702" spans="2:4">
      <c r="B702" s="290"/>
      <c r="D702" s="344"/>
    </row>
    <row r="703" spans="2:4">
      <c r="B703" s="290"/>
      <c r="D703" s="344"/>
    </row>
    <row r="704" spans="2:4">
      <c r="B704" s="290"/>
      <c r="D704" s="344"/>
    </row>
    <row r="705" spans="2:4">
      <c r="B705" s="290"/>
      <c r="D705" s="344"/>
    </row>
    <row r="706" spans="2:4">
      <c r="B706" s="290"/>
      <c r="D706" s="344"/>
    </row>
    <row r="707" spans="2:4">
      <c r="B707" s="290"/>
      <c r="D707" s="344"/>
    </row>
    <row r="708" spans="2:4">
      <c r="B708" s="290"/>
      <c r="D708" s="344"/>
    </row>
    <row r="709" spans="2:4">
      <c r="B709" s="290"/>
      <c r="D709" s="344"/>
    </row>
    <row r="710" spans="2:4">
      <c r="B710" s="290"/>
      <c r="D710" s="344"/>
    </row>
    <row r="711" spans="2:4">
      <c r="B711" s="290"/>
      <c r="D711" s="344"/>
    </row>
    <row r="712" spans="2:4">
      <c r="B712" s="290"/>
      <c r="D712" s="344"/>
    </row>
    <row r="713" spans="2:4">
      <c r="B713" s="290"/>
      <c r="D713" s="344"/>
    </row>
    <row r="714" spans="2:4">
      <c r="B714" s="290"/>
      <c r="D714" s="344"/>
    </row>
    <row r="715" spans="2:4">
      <c r="B715" s="290"/>
      <c r="D715" s="344"/>
    </row>
    <row r="716" spans="2:4">
      <c r="B716" s="290"/>
      <c r="D716" s="344"/>
    </row>
    <row r="717" spans="2:4">
      <c r="B717" s="290"/>
      <c r="D717" s="344"/>
    </row>
    <row r="718" spans="2:4">
      <c r="B718" s="290"/>
      <c r="D718" s="344"/>
    </row>
    <row r="719" spans="2:4">
      <c r="B719" s="290"/>
      <c r="D719" s="344"/>
    </row>
    <row r="720" spans="2:4">
      <c r="B720" s="290"/>
      <c r="D720" s="344"/>
    </row>
    <row r="721" spans="2:4">
      <c r="B721" s="290"/>
      <c r="D721" s="344"/>
    </row>
    <row r="722" spans="2:4">
      <c r="B722" s="290"/>
      <c r="D722" s="344"/>
    </row>
    <row r="723" spans="2:4">
      <c r="B723" s="290"/>
      <c r="D723" s="344"/>
    </row>
    <row r="724" spans="2:4">
      <c r="B724" s="290"/>
      <c r="D724" s="344"/>
    </row>
    <row r="725" spans="2:4">
      <c r="B725" s="290"/>
      <c r="D725" s="344"/>
    </row>
    <row r="726" spans="2:4">
      <c r="B726" s="290"/>
      <c r="D726" s="344"/>
    </row>
    <row r="727" spans="2:4">
      <c r="B727" s="290"/>
      <c r="D727" s="344"/>
    </row>
    <row r="728" spans="2:4">
      <c r="B728" s="290"/>
      <c r="D728" s="344"/>
    </row>
    <row r="729" spans="2:4">
      <c r="B729" s="290"/>
      <c r="D729" s="344"/>
    </row>
    <row r="730" spans="2:4">
      <c r="B730" s="290"/>
      <c r="D730" s="344"/>
    </row>
    <row r="731" spans="2:4">
      <c r="B731" s="290"/>
      <c r="D731" s="344"/>
    </row>
    <row r="732" spans="2:4">
      <c r="B732" s="290"/>
      <c r="D732" s="344"/>
    </row>
    <row r="733" spans="2:4">
      <c r="B733" s="290"/>
      <c r="D733" s="344"/>
    </row>
    <row r="734" spans="2:4">
      <c r="B734" s="290"/>
      <c r="D734" s="344"/>
    </row>
    <row r="735" spans="2:4">
      <c r="B735" s="290"/>
      <c r="D735" s="344"/>
    </row>
    <row r="736" spans="2:4">
      <c r="B736" s="290"/>
      <c r="D736" s="344"/>
    </row>
    <row r="737" spans="2:4">
      <c r="B737" s="290"/>
      <c r="D737" s="344"/>
    </row>
    <row r="738" spans="2:4">
      <c r="B738" s="290"/>
      <c r="D738" s="344"/>
    </row>
    <row r="739" spans="2:4">
      <c r="B739" s="290"/>
      <c r="D739" s="344"/>
    </row>
    <row r="740" spans="2:4">
      <c r="B740" s="290"/>
      <c r="D740" s="344"/>
    </row>
    <row r="741" spans="2:4">
      <c r="B741" s="290"/>
      <c r="D741" s="344"/>
    </row>
    <row r="742" spans="2:4">
      <c r="B742" s="290"/>
      <c r="D742" s="344"/>
    </row>
    <row r="743" spans="2:4">
      <c r="B743" s="290"/>
      <c r="D743" s="344"/>
    </row>
    <row r="744" spans="2:4">
      <c r="B744" s="290"/>
      <c r="D744" s="344"/>
    </row>
    <row r="745" spans="2:4">
      <c r="B745" s="290"/>
      <c r="D745" s="344"/>
    </row>
    <row r="746" spans="2:4">
      <c r="B746" s="290"/>
      <c r="D746" s="344"/>
    </row>
    <row r="747" spans="2:4">
      <c r="B747" s="290"/>
      <c r="D747" s="344"/>
    </row>
    <row r="748" spans="2:4">
      <c r="B748" s="290"/>
      <c r="D748" s="344"/>
    </row>
    <row r="749" spans="2:4">
      <c r="B749" s="290"/>
      <c r="D749" s="344"/>
    </row>
    <row r="750" spans="2:4">
      <c r="B750" s="290"/>
      <c r="D750" s="344"/>
    </row>
    <row r="751" spans="2:4">
      <c r="B751" s="290"/>
      <c r="D751" s="344"/>
    </row>
    <row r="752" spans="2:4">
      <c r="B752" s="290"/>
      <c r="D752" s="344"/>
    </row>
    <row r="753" spans="2:4">
      <c r="B753" s="290"/>
      <c r="D753" s="344"/>
    </row>
    <row r="754" spans="2:4">
      <c r="B754" s="290"/>
      <c r="D754" s="344"/>
    </row>
    <row r="755" spans="2:4">
      <c r="B755" s="290"/>
      <c r="D755" s="344"/>
    </row>
    <row r="756" spans="2:4">
      <c r="B756" s="290"/>
      <c r="D756" s="344"/>
    </row>
    <row r="757" spans="2:4">
      <c r="B757" s="290"/>
      <c r="D757" s="344"/>
    </row>
    <row r="758" spans="2:4">
      <c r="B758" s="290"/>
      <c r="D758" s="344"/>
    </row>
    <row r="759" spans="2:4">
      <c r="B759" s="290"/>
      <c r="D759" s="344"/>
    </row>
    <row r="760" spans="2:4">
      <c r="B760" s="290"/>
      <c r="D760" s="344"/>
    </row>
    <row r="761" spans="2:4">
      <c r="B761" s="290"/>
      <c r="D761" s="344"/>
    </row>
    <row r="762" spans="2:4">
      <c r="B762" s="290"/>
      <c r="D762" s="344"/>
    </row>
    <row r="763" spans="2:4">
      <c r="B763" s="290"/>
      <c r="D763" s="344"/>
    </row>
    <row r="764" spans="2:4">
      <c r="B764" s="290"/>
      <c r="D764" s="344"/>
    </row>
    <row r="765" spans="2:4">
      <c r="B765" s="290"/>
      <c r="D765" s="344"/>
    </row>
    <row r="766" spans="2:4">
      <c r="B766" s="290"/>
      <c r="D766" s="344"/>
    </row>
    <row r="767" spans="2:4">
      <c r="B767" s="290"/>
      <c r="D767" s="344"/>
    </row>
    <row r="768" spans="2:4">
      <c r="B768" s="290"/>
      <c r="D768" s="344"/>
    </row>
    <row r="769" spans="2:4">
      <c r="B769" s="290"/>
      <c r="D769" s="344"/>
    </row>
    <row r="770" spans="2:4">
      <c r="B770" s="290"/>
      <c r="D770" s="344"/>
    </row>
    <row r="771" spans="2:4">
      <c r="B771" s="290"/>
      <c r="D771" s="344"/>
    </row>
    <row r="772" spans="2:4">
      <c r="B772" s="290"/>
      <c r="D772" s="344"/>
    </row>
    <row r="773" spans="2:4">
      <c r="B773" s="290"/>
      <c r="D773" s="344"/>
    </row>
    <row r="774" spans="2:4">
      <c r="B774" s="290"/>
      <c r="D774" s="344"/>
    </row>
    <row r="775" spans="2:4">
      <c r="B775" s="290"/>
      <c r="D775" s="344"/>
    </row>
    <row r="776" spans="2:4">
      <c r="B776" s="290"/>
      <c r="D776" s="344"/>
    </row>
    <row r="777" spans="2:4">
      <c r="B777" s="290"/>
      <c r="D777" s="344"/>
    </row>
    <row r="778" spans="2:4">
      <c r="B778" s="290"/>
      <c r="D778" s="344"/>
    </row>
    <row r="779" spans="2:4">
      <c r="B779" s="290"/>
      <c r="D779" s="344"/>
    </row>
    <row r="780" spans="2:4">
      <c r="B780" s="290"/>
      <c r="D780" s="344"/>
    </row>
    <row r="781" spans="2:4">
      <c r="B781" s="290"/>
      <c r="D781" s="344"/>
    </row>
    <row r="782" spans="2:4">
      <c r="B782" s="290"/>
      <c r="D782" s="344"/>
    </row>
    <row r="783" spans="2:4">
      <c r="B783" s="290"/>
      <c r="D783" s="344"/>
    </row>
    <row r="784" spans="2:4">
      <c r="B784" s="290"/>
      <c r="D784" s="344"/>
    </row>
    <row r="785" spans="2:4">
      <c r="B785" s="290"/>
      <c r="D785" s="344"/>
    </row>
    <row r="786" spans="2:4">
      <c r="B786" s="290"/>
      <c r="D786" s="344"/>
    </row>
    <row r="787" spans="2:4">
      <c r="B787" s="290"/>
      <c r="D787" s="344"/>
    </row>
    <row r="788" spans="2:4">
      <c r="B788" s="290"/>
      <c r="D788" s="344"/>
    </row>
    <row r="789" spans="2:4">
      <c r="B789" s="290"/>
      <c r="D789" s="344"/>
    </row>
    <row r="790" spans="2:4">
      <c r="B790" s="290"/>
      <c r="D790" s="344"/>
    </row>
    <row r="791" spans="2:4">
      <c r="B791" s="290"/>
      <c r="D791" s="344"/>
    </row>
    <row r="792" spans="2:4">
      <c r="B792" s="290"/>
      <c r="D792" s="344"/>
    </row>
    <row r="793" spans="2:4">
      <c r="B793" s="290"/>
      <c r="D793" s="344"/>
    </row>
    <row r="794" spans="2:4">
      <c r="B794" s="290"/>
      <c r="D794" s="344"/>
    </row>
    <row r="795" spans="2:4">
      <c r="B795" s="290"/>
      <c r="D795" s="344"/>
    </row>
    <row r="796" spans="2:4">
      <c r="B796" s="290"/>
      <c r="D796" s="344"/>
    </row>
    <row r="797" spans="2:4">
      <c r="B797" s="290"/>
      <c r="D797" s="344"/>
    </row>
    <row r="798" spans="2:4">
      <c r="B798" s="290"/>
      <c r="D798" s="344"/>
    </row>
    <row r="799" spans="2:4">
      <c r="B799" s="290"/>
      <c r="D799" s="344"/>
    </row>
    <row r="800" spans="2:4">
      <c r="B800" s="290"/>
      <c r="D800" s="344"/>
    </row>
    <row r="801" spans="2:4">
      <c r="B801" s="290"/>
      <c r="D801" s="344"/>
    </row>
    <row r="802" spans="2:4">
      <c r="B802" s="290"/>
      <c r="D802" s="344"/>
    </row>
    <row r="803" spans="2:4">
      <c r="B803" s="290"/>
      <c r="D803" s="344"/>
    </row>
    <row r="804" spans="2:4">
      <c r="B804" s="290"/>
      <c r="D804" s="344"/>
    </row>
    <row r="805" spans="2:4">
      <c r="B805" s="290"/>
      <c r="D805" s="344"/>
    </row>
    <row r="806" spans="2:4">
      <c r="B806" s="290"/>
      <c r="D806" s="344"/>
    </row>
    <row r="807" spans="2:4">
      <c r="B807" s="290"/>
      <c r="D807" s="344"/>
    </row>
    <row r="808" spans="2:4">
      <c r="B808" s="290"/>
      <c r="D808" s="344"/>
    </row>
    <row r="809" spans="2:4">
      <c r="B809" s="290"/>
      <c r="D809" s="344"/>
    </row>
    <row r="810" spans="2:4">
      <c r="B810" s="290"/>
      <c r="D810" s="344"/>
    </row>
    <row r="811" spans="2:4">
      <c r="B811" s="290"/>
      <c r="D811" s="344"/>
    </row>
    <row r="812" spans="2:4">
      <c r="B812" s="290"/>
      <c r="D812" s="344"/>
    </row>
    <row r="813" spans="2:4">
      <c r="B813" s="290"/>
      <c r="D813" s="344"/>
    </row>
    <row r="814" spans="2:4">
      <c r="B814" s="290"/>
      <c r="D814" s="344"/>
    </row>
    <row r="815" spans="2:4">
      <c r="B815" s="290"/>
      <c r="D815" s="344"/>
    </row>
    <row r="816" spans="2:4">
      <c r="B816" s="290"/>
      <c r="D816" s="344"/>
    </row>
    <row r="817" spans="2:4">
      <c r="B817" s="290"/>
      <c r="D817" s="344"/>
    </row>
    <row r="818" spans="2:4">
      <c r="B818" s="290"/>
      <c r="D818" s="344"/>
    </row>
    <row r="819" spans="2:4">
      <c r="B819" s="290"/>
      <c r="D819" s="344"/>
    </row>
    <row r="820" spans="2:4">
      <c r="B820" s="290"/>
      <c r="D820" s="344"/>
    </row>
    <row r="821" spans="2:4">
      <c r="B821" s="290"/>
      <c r="D821" s="344"/>
    </row>
    <row r="822" spans="2:4">
      <c r="B822" s="290"/>
      <c r="D822" s="344"/>
    </row>
    <row r="823" spans="2:4">
      <c r="B823" s="290"/>
      <c r="D823" s="344"/>
    </row>
    <row r="824" spans="2:4">
      <c r="B824" s="290"/>
      <c r="D824" s="344"/>
    </row>
    <row r="825" spans="2:4">
      <c r="B825" s="290"/>
      <c r="D825" s="344"/>
    </row>
    <row r="826" spans="2:4">
      <c r="B826" s="290"/>
      <c r="D826" s="344"/>
    </row>
    <row r="827" spans="2:4">
      <c r="B827" s="290"/>
      <c r="D827" s="344"/>
    </row>
    <row r="828" spans="2:4">
      <c r="B828" s="290"/>
      <c r="D828" s="344"/>
    </row>
    <row r="829" spans="2:4">
      <c r="B829" s="290"/>
      <c r="D829" s="344"/>
    </row>
    <row r="830" spans="2:4">
      <c r="B830" s="290"/>
      <c r="D830" s="344"/>
    </row>
    <row r="831" spans="2:4">
      <c r="B831" s="290"/>
      <c r="D831" s="344"/>
    </row>
    <row r="832" spans="2:4">
      <c r="B832" s="290"/>
      <c r="D832" s="344"/>
    </row>
    <row r="833" spans="2:4">
      <c r="B833" s="290"/>
      <c r="D833" s="344"/>
    </row>
    <row r="834" spans="2:4">
      <c r="B834" s="290"/>
      <c r="D834" s="344"/>
    </row>
    <row r="835" spans="2:4">
      <c r="B835" s="290"/>
      <c r="D835" s="344"/>
    </row>
    <row r="836" spans="2:4">
      <c r="B836" s="290"/>
      <c r="D836" s="344"/>
    </row>
    <row r="837" spans="2:4">
      <c r="B837" s="290"/>
      <c r="D837" s="344"/>
    </row>
    <row r="838" spans="2:4">
      <c r="B838" s="290"/>
      <c r="D838" s="344"/>
    </row>
    <row r="839" spans="2:4">
      <c r="B839" s="290"/>
      <c r="D839" s="344"/>
    </row>
    <row r="840" spans="2:4">
      <c r="B840" s="290"/>
      <c r="D840" s="344"/>
    </row>
    <row r="841" spans="2:4">
      <c r="B841" s="290"/>
      <c r="D841" s="344"/>
    </row>
    <row r="842" spans="2:4">
      <c r="B842" s="290"/>
      <c r="D842" s="344"/>
    </row>
    <row r="843" spans="2:4">
      <c r="B843" s="290"/>
      <c r="D843" s="344"/>
    </row>
    <row r="844" spans="2:4">
      <c r="B844" s="290"/>
      <c r="D844" s="344"/>
    </row>
    <row r="845" spans="2:4">
      <c r="B845" s="290"/>
      <c r="D845" s="344"/>
    </row>
    <row r="846" spans="2:4">
      <c r="B846" s="290"/>
      <c r="D846" s="344"/>
    </row>
    <row r="847" spans="2:4">
      <c r="B847" s="290"/>
      <c r="D847" s="344"/>
    </row>
    <row r="848" spans="2:4">
      <c r="B848" s="290"/>
      <c r="D848" s="344"/>
    </row>
    <row r="849" spans="2:4">
      <c r="B849" s="290"/>
      <c r="D849" s="344"/>
    </row>
    <row r="850" spans="2:4">
      <c r="B850" s="290"/>
      <c r="D850" s="344"/>
    </row>
    <row r="851" spans="2:4">
      <c r="B851" s="290"/>
      <c r="D851" s="344"/>
    </row>
    <row r="852" spans="2:4">
      <c r="B852" s="290"/>
      <c r="D852" s="344"/>
    </row>
    <row r="853" spans="2:4">
      <c r="B853" s="290"/>
      <c r="D853" s="344"/>
    </row>
    <row r="854" spans="2:4">
      <c r="B854" s="290"/>
      <c r="D854" s="344"/>
    </row>
    <row r="855" spans="2:4">
      <c r="B855" s="290"/>
      <c r="D855" s="344"/>
    </row>
    <row r="856" spans="2:4">
      <c r="B856" s="290"/>
      <c r="D856" s="344"/>
    </row>
    <row r="857" spans="2:4">
      <c r="B857" s="290"/>
      <c r="D857" s="344"/>
    </row>
    <row r="858" spans="2:4">
      <c r="B858" s="290"/>
      <c r="D858" s="344"/>
    </row>
    <row r="859" spans="2:4">
      <c r="B859" s="290"/>
      <c r="D859" s="344"/>
    </row>
    <row r="860" spans="2:4">
      <c r="B860" s="290"/>
      <c r="D860" s="344"/>
    </row>
    <row r="861" spans="2:4">
      <c r="B861" s="290"/>
      <c r="D861" s="344"/>
    </row>
    <row r="862" spans="2:4">
      <c r="B862" s="290"/>
      <c r="D862" s="344"/>
    </row>
    <row r="863" spans="2:4">
      <c r="B863" s="290"/>
      <c r="D863" s="344"/>
    </row>
    <row r="864" spans="2:4">
      <c r="B864" s="290"/>
      <c r="D864" s="344"/>
    </row>
    <row r="865" spans="2:4">
      <c r="B865" s="290"/>
      <c r="D865" s="344"/>
    </row>
    <row r="866" spans="2:4">
      <c r="B866" s="290"/>
      <c r="D866" s="344"/>
    </row>
    <row r="867" spans="2:4">
      <c r="B867" s="290"/>
      <c r="D867" s="344"/>
    </row>
    <row r="868" spans="2:4">
      <c r="B868" s="290"/>
      <c r="D868" s="344"/>
    </row>
    <row r="869" spans="2:4">
      <c r="B869" s="290"/>
      <c r="D869" s="344"/>
    </row>
    <row r="870" spans="2:4">
      <c r="B870" s="290"/>
      <c r="D870" s="344"/>
    </row>
    <row r="871" spans="2:4">
      <c r="B871" s="290"/>
      <c r="D871" s="344"/>
    </row>
    <row r="872" spans="2:4">
      <c r="B872" s="290"/>
      <c r="D872" s="344"/>
    </row>
    <row r="873" spans="2:4">
      <c r="B873" s="290"/>
      <c r="D873" s="344"/>
    </row>
    <row r="874" spans="2:4">
      <c r="B874" s="290"/>
      <c r="D874" s="344"/>
    </row>
    <row r="875" spans="2:4">
      <c r="B875" s="290"/>
      <c r="D875" s="344"/>
    </row>
    <row r="876" spans="2:4">
      <c r="B876" s="290"/>
      <c r="D876" s="344"/>
    </row>
    <row r="877" spans="2:4">
      <c r="B877" s="290"/>
      <c r="D877" s="344"/>
    </row>
    <row r="878" spans="2:4">
      <c r="B878" s="290"/>
      <c r="D878" s="344"/>
    </row>
    <row r="879" spans="2:4">
      <c r="B879" s="290"/>
      <c r="D879" s="344"/>
    </row>
    <row r="880" spans="2:4">
      <c r="B880" s="290"/>
      <c r="D880" s="344"/>
    </row>
    <row r="881" spans="2:4">
      <c r="B881" s="290"/>
      <c r="D881" s="344"/>
    </row>
    <row r="882" spans="2:4">
      <c r="B882" s="290"/>
      <c r="D882" s="344"/>
    </row>
    <row r="883" spans="2:4">
      <c r="B883" s="290"/>
      <c r="D883" s="344"/>
    </row>
    <row r="884" spans="2:4">
      <c r="B884" s="290"/>
      <c r="D884" s="344"/>
    </row>
    <row r="885" spans="2:4">
      <c r="B885" s="290"/>
      <c r="D885" s="344"/>
    </row>
    <row r="886" spans="2:4">
      <c r="B886" s="290"/>
      <c r="D886" s="344"/>
    </row>
    <row r="887" spans="2:4">
      <c r="B887" s="290"/>
      <c r="D887" s="344"/>
    </row>
    <row r="888" spans="2:4">
      <c r="B888" s="290"/>
      <c r="D888" s="344"/>
    </row>
    <row r="889" spans="2:4">
      <c r="B889" s="290"/>
      <c r="D889" s="344"/>
    </row>
    <row r="890" spans="2:4">
      <c r="B890" s="290"/>
      <c r="D890" s="344"/>
    </row>
    <row r="891" spans="2:4">
      <c r="B891" s="290"/>
      <c r="D891" s="344"/>
    </row>
    <row r="892" spans="2:4">
      <c r="B892" s="290"/>
      <c r="D892" s="344"/>
    </row>
    <row r="893" spans="2:4">
      <c r="B893" s="290"/>
      <c r="D893" s="344"/>
    </row>
    <row r="894" spans="2:4">
      <c r="B894" s="290"/>
      <c r="D894" s="344"/>
    </row>
    <row r="895" spans="2:4">
      <c r="B895" s="290"/>
      <c r="D895" s="344"/>
    </row>
    <row r="896" spans="2:4">
      <c r="B896" s="290"/>
      <c r="D896" s="344"/>
    </row>
    <row r="897" spans="2:4">
      <c r="B897" s="290"/>
      <c r="D897" s="344"/>
    </row>
    <row r="898" spans="2:4">
      <c r="B898" s="290"/>
      <c r="D898" s="344"/>
    </row>
    <row r="899" spans="2:4">
      <c r="B899" s="290"/>
      <c r="D899" s="344"/>
    </row>
    <row r="900" spans="2:4">
      <c r="B900" s="290"/>
      <c r="D900" s="344"/>
    </row>
    <row r="901" spans="2:4">
      <c r="B901" s="290"/>
      <c r="D901" s="344"/>
    </row>
    <row r="902" spans="2:4">
      <c r="B902" s="290"/>
      <c r="D902" s="344"/>
    </row>
    <row r="903" spans="2:4">
      <c r="B903" s="290"/>
      <c r="D903" s="344"/>
    </row>
    <row r="904" spans="2:4">
      <c r="B904" s="290"/>
      <c r="D904" s="344"/>
    </row>
    <row r="905" spans="2:4">
      <c r="B905" s="290"/>
      <c r="D905" s="344"/>
    </row>
    <row r="906" spans="2:4">
      <c r="B906" s="290"/>
      <c r="D906" s="344"/>
    </row>
    <row r="907" spans="2:4">
      <c r="B907" s="290"/>
      <c r="D907" s="344"/>
    </row>
    <row r="908" spans="2:4">
      <c r="B908" s="290"/>
      <c r="D908" s="344"/>
    </row>
    <row r="909" spans="2:4">
      <c r="B909" s="290"/>
      <c r="D909" s="344"/>
    </row>
    <row r="910" spans="2:4">
      <c r="B910" s="290"/>
      <c r="D910" s="344"/>
    </row>
    <row r="911" spans="2:4">
      <c r="B911" s="290"/>
      <c r="D911" s="344"/>
    </row>
    <row r="912" spans="2:4">
      <c r="B912" s="290"/>
      <c r="D912" s="344"/>
    </row>
    <row r="913" spans="2:4">
      <c r="B913" s="290"/>
      <c r="D913" s="344"/>
    </row>
    <row r="914" spans="2:4">
      <c r="B914" s="290"/>
      <c r="D914" s="344"/>
    </row>
    <row r="915" spans="2:4">
      <c r="B915" s="290"/>
      <c r="D915" s="344"/>
    </row>
    <row r="916" spans="2:4">
      <c r="B916" s="290"/>
      <c r="D916" s="344"/>
    </row>
    <row r="917" spans="2:4">
      <c r="B917" s="290"/>
      <c r="D917" s="344"/>
    </row>
    <row r="918" spans="2:4">
      <c r="B918" s="290"/>
      <c r="D918" s="344"/>
    </row>
    <row r="919" spans="2:4">
      <c r="B919" s="290"/>
      <c r="D919" s="344"/>
    </row>
    <row r="920" spans="2:4">
      <c r="B920" s="290"/>
      <c r="D920" s="344"/>
    </row>
    <row r="921" spans="2:4">
      <c r="B921" s="290"/>
      <c r="D921" s="344"/>
    </row>
    <row r="922" spans="2:4">
      <c r="B922" s="290"/>
      <c r="D922" s="344"/>
    </row>
    <row r="923" spans="2:4">
      <c r="B923" s="290"/>
      <c r="D923" s="344"/>
    </row>
    <row r="924" spans="2:4">
      <c r="B924" s="290"/>
      <c r="D924" s="344"/>
    </row>
    <row r="925" spans="2:4">
      <c r="B925" s="290"/>
      <c r="D925" s="344"/>
    </row>
    <row r="926" spans="2:4">
      <c r="B926" s="290"/>
      <c r="D926" s="344"/>
    </row>
    <row r="927" spans="2:4">
      <c r="B927" s="290"/>
      <c r="D927" s="344"/>
    </row>
    <row r="928" spans="2:4">
      <c r="B928" s="290"/>
      <c r="D928" s="344"/>
    </row>
    <row r="929" spans="2:4">
      <c r="B929" s="290"/>
      <c r="D929" s="344"/>
    </row>
    <row r="930" spans="2:4">
      <c r="B930" s="290"/>
      <c r="D930" s="344"/>
    </row>
    <row r="931" spans="2:4">
      <c r="B931" s="290"/>
      <c r="D931" s="344"/>
    </row>
    <row r="932" spans="2:4">
      <c r="B932" s="290"/>
      <c r="D932" s="344"/>
    </row>
    <row r="933" spans="2:4">
      <c r="B933" s="290"/>
      <c r="D933" s="344"/>
    </row>
    <row r="934" spans="2:4">
      <c r="B934" s="290"/>
      <c r="D934" s="344"/>
    </row>
    <row r="935" spans="2:4">
      <c r="B935" s="290"/>
      <c r="D935" s="344"/>
    </row>
    <row r="936" spans="2:4">
      <c r="B936" s="290"/>
      <c r="D936" s="344"/>
    </row>
    <row r="937" spans="2:4">
      <c r="B937" s="290"/>
      <c r="D937" s="344"/>
    </row>
    <row r="938" spans="2:4">
      <c r="B938" s="290"/>
      <c r="D938" s="344"/>
    </row>
    <row r="939" spans="2:4">
      <c r="B939" s="290"/>
      <c r="D939" s="344"/>
    </row>
    <row r="940" spans="2:4">
      <c r="B940" s="290"/>
      <c r="D940" s="344"/>
    </row>
    <row r="941" spans="2:4">
      <c r="B941" s="290"/>
      <c r="D941" s="344"/>
    </row>
    <row r="942" spans="2:4">
      <c r="B942" s="290"/>
      <c r="D942" s="344"/>
    </row>
    <row r="943" spans="2:4">
      <c r="B943" s="290"/>
      <c r="D943" s="344"/>
    </row>
    <row r="944" spans="2:4">
      <c r="B944" s="290"/>
      <c r="D944" s="344"/>
    </row>
    <row r="945" spans="2:4">
      <c r="B945" s="290"/>
      <c r="D945" s="344"/>
    </row>
    <row r="946" spans="2:4">
      <c r="B946" s="290"/>
      <c r="D946" s="344"/>
    </row>
    <row r="947" spans="2:4">
      <c r="B947" s="290"/>
      <c r="D947" s="344"/>
    </row>
    <row r="948" spans="2:4">
      <c r="B948" s="290"/>
      <c r="D948" s="344"/>
    </row>
    <row r="949" spans="2:4">
      <c r="B949" s="290"/>
      <c r="D949" s="344"/>
    </row>
    <row r="950" spans="2:4">
      <c r="B950" s="290"/>
      <c r="D950" s="344"/>
    </row>
    <row r="951" spans="2:4">
      <c r="B951" s="290"/>
      <c r="D951" s="344"/>
    </row>
    <row r="952" spans="2:4">
      <c r="B952" s="290"/>
      <c r="D952" s="344"/>
    </row>
    <row r="953" spans="2:4">
      <c r="B953" s="290"/>
      <c r="D953" s="344"/>
    </row>
    <row r="954" spans="2:4">
      <c r="B954" s="290"/>
      <c r="D954" s="344"/>
    </row>
    <row r="955" spans="2:4">
      <c r="B955" s="290"/>
      <c r="D955" s="344"/>
    </row>
  </sheetData>
  <sheetProtection algorithmName="SHA-512" hashValue="kVGW69SLQIIY6mUW8/Q5FR6hTVBfpQ97fU2kr21Dkt/3/idgoFBYpS487CR/9W+vGeT4L7PuMchlINhrlAoAOw==" saltValue="3XJTNLl4wTlwop5X1PBxDw==" spinCount="100000" sheet="1" objects="1" scenarios="1"/>
  <mergeCells count="6">
    <mergeCell ref="B4:B7"/>
    <mergeCell ref="C7:D7"/>
    <mergeCell ref="C16:D16"/>
    <mergeCell ref="C10:D10"/>
    <mergeCell ref="B11:B16"/>
    <mergeCell ref="B8:B10"/>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5BDA1AB4-2061-48CD-8725-311BC250C7C3}">
          <x14:formula1>
            <xm:f>Opções!$C$2:$C$6</xm:f>
          </x14:formula1>
          <xm:sqref>G4</xm:sqref>
        </x14:dataValidation>
        <x14:dataValidation type="list" allowBlank="1" showInputMessage="1" showErrorMessage="1" xr:uid="{FFAD7E64-E21D-4195-9C6B-C5029ED898EF}">
          <x14:formula1>
            <xm:f>Opções!$C$9:$C$13</xm:f>
          </x14:formula1>
          <xm:sqref>G5</xm:sqref>
        </x14:dataValidation>
        <x14:dataValidation type="list" allowBlank="1" showInputMessage="1" showErrorMessage="1" xr:uid="{349EE685-75D3-404A-8DD6-3E5ADDF99BA4}">
          <x14:formula1>
            <xm:f>Opções!$C$16:$C$20</xm:f>
          </x14:formula1>
          <xm:sqref>G6</xm:sqref>
        </x14:dataValidation>
        <x14:dataValidation type="list" allowBlank="1" showInputMessage="1" showErrorMessage="1" xr:uid="{9391AB97-9DEB-46DD-BA2F-31619A25976A}">
          <x14:formula1>
            <xm:f>Opções!$C$38:$C$40</xm:f>
          </x14:formula1>
          <xm:sqref>G11</xm:sqref>
        </x14:dataValidation>
        <x14:dataValidation type="list" allowBlank="1" showInputMessage="1" showErrorMessage="1" xr:uid="{113DEFA4-50CB-4C00-AD91-A14118F97F03}">
          <x14:formula1>
            <xm:f>Opções!$C$43:$C$45</xm:f>
          </x14:formula1>
          <xm:sqref>G13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6A0CE-E0AE-42E1-95F6-AA5C06A69DD3}">
  <sheetPr>
    <tabColor theme="7" tint="0.79998168889431442"/>
  </sheetPr>
  <dimension ref="A1:XFC96"/>
  <sheetViews>
    <sheetView showGridLines="0" zoomScale="98" zoomScaleNormal="98" workbookViewId="0">
      <pane ySplit="1" topLeftCell="A2" activePane="bottomLeft" state="frozen"/>
      <selection pane="bottomLeft" activeCell="A2" sqref="A2"/>
    </sheetView>
  </sheetViews>
  <sheetFormatPr defaultColWidth="0" defaultRowHeight="15"/>
  <cols>
    <col min="1" max="1" width="8.5703125" customWidth="1"/>
    <col min="2" max="2" width="30.85546875" customWidth="1"/>
    <col min="3" max="3" width="10.7109375" customWidth="1"/>
    <col min="4" max="4" width="9.28515625" customWidth="1"/>
    <col min="5" max="5" width="8.7109375" customWidth="1"/>
    <col min="6" max="6" width="12.85546875" customWidth="1"/>
    <col min="7" max="37" width="8.7109375" customWidth="1"/>
    <col min="38" max="16383" width="8.7109375" hidden="1"/>
    <col min="16384" max="16384" width="0.140625" hidden="1"/>
  </cols>
  <sheetData>
    <row r="1" spans="1:36" s="351" customFormat="1" ht="11.1" customHeight="1">
      <c r="A1" s="205"/>
      <c r="B1" s="349" t="s">
        <v>393</v>
      </c>
      <c r="C1" s="350"/>
      <c r="D1" s="349"/>
      <c r="E1" s="349"/>
      <c r="F1" s="351" t="s">
        <v>100</v>
      </c>
      <c r="G1" s="351" t="s">
        <v>101</v>
      </c>
      <c r="H1" s="351" t="s">
        <v>102</v>
      </c>
      <c r="I1" s="351" t="s">
        <v>103</v>
      </c>
      <c r="J1" s="351" t="s">
        <v>104</v>
      </c>
      <c r="K1" s="351" t="s">
        <v>105</v>
      </c>
      <c r="L1" s="351" t="s">
        <v>106</v>
      </c>
      <c r="M1" s="351" t="s">
        <v>107</v>
      </c>
      <c r="N1" s="351" t="s">
        <v>108</v>
      </c>
      <c r="O1" s="351" t="s">
        <v>109</v>
      </c>
      <c r="P1" s="351" t="s">
        <v>110</v>
      </c>
      <c r="Q1" s="351" t="s">
        <v>111</v>
      </c>
      <c r="R1" s="351" t="s">
        <v>112</v>
      </c>
      <c r="S1" s="351" t="s">
        <v>113</v>
      </c>
      <c r="T1" s="351" t="s">
        <v>114</v>
      </c>
      <c r="U1" s="351" t="s">
        <v>115</v>
      </c>
      <c r="V1" s="351" t="s">
        <v>116</v>
      </c>
      <c r="W1" s="351" t="s">
        <v>117</v>
      </c>
      <c r="X1" s="351" t="s">
        <v>118</v>
      </c>
      <c r="Y1" s="351" t="s">
        <v>119</v>
      </c>
      <c r="Z1" s="351" t="s">
        <v>120</v>
      </c>
      <c r="AA1" s="351" t="s">
        <v>121</v>
      </c>
      <c r="AB1" s="351" t="s">
        <v>122</v>
      </c>
      <c r="AC1" s="351" t="s">
        <v>123</v>
      </c>
      <c r="AD1" s="351" t="s">
        <v>435</v>
      </c>
      <c r="AE1" s="351" t="s">
        <v>436</v>
      </c>
      <c r="AF1" s="351" t="s">
        <v>437</v>
      </c>
      <c r="AG1" s="351" t="s">
        <v>438</v>
      </c>
      <c r="AH1" s="351" t="s">
        <v>439</v>
      </c>
      <c r="AI1" s="351" t="s">
        <v>440</v>
      </c>
      <c r="AJ1" s="351" t="s">
        <v>441</v>
      </c>
    </row>
    <row r="2" spans="1:36" s="352" customFormat="1" ht="12">
      <c r="B2" s="352" t="s">
        <v>125</v>
      </c>
    </row>
    <row r="3" spans="1:36" s="210" customFormat="1">
      <c r="B3" s="353"/>
      <c r="C3" s="221"/>
      <c r="D3" s="354"/>
      <c r="E3"/>
    </row>
    <row r="4" spans="1:36" s="210" customFormat="1">
      <c r="B4" s="355" t="s">
        <v>404</v>
      </c>
      <c r="C4" s="221"/>
      <c r="D4" s="356"/>
      <c r="E4"/>
    </row>
    <row r="5" spans="1:36" s="210" customFormat="1" ht="12.75">
      <c r="B5" s="357" t="s">
        <v>405</v>
      </c>
      <c r="C5" s="357" t="s">
        <v>8</v>
      </c>
      <c r="D5" s="505">
        <v>10</v>
      </c>
      <c r="E5" s="358"/>
    </row>
    <row r="6" spans="1:36" s="210" customFormat="1" ht="12.75">
      <c r="B6" s="357" t="s">
        <v>406</v>
      </c>
      <c r="C6" s="357" t="s">
        <v>8</v>
      </c>
      <c r="D6" s="505">
        <v>17</v>
      </c>
      <c r="E6" s="358"/>
    </row>
    <row r="7" spans="1:36" s="210" customFormat="1" ht="12"/>
    <row r="8" spans="1:36" s="210" customFormat="1">
      <c r="B8" s="359" t="s">
        <v>260</v>
      </c>
      <c r="C8" s="221" t="s">
        <v>8</v>
      </c>
      <c r="D8" s="394">
        <v>0.4</v>
      </c>
      <c r="E8"/>
      <c r="F8" s="360"/>
      <c r="G8" s="360"/>
      <c r="H8" s="360"/>
      <c r="I8" s="360"/>
      <c r="J8" s="360"/>
      <c r="K8" s="360"/>
      <c r="L8" s="360"/>
      <c r="M8" s="360"/>
      <c r="N8" s="361"/>
      <c r="O8" s="361"/>
      <c r="P8" s="361"/>
      <c r="Q8" s="361"/>
      <c r="R8" s="360"/>
      <c r="S8" s="360"/>
      <c r="T8" s="360"/>
      <c r="U8" s="360"/>
      <c r="V8" s="362"/>
      <c r="W8" s="362"/>
      <c r="X8" s="362"/>
      <c r="Y8" s="362"/>
      <c r="Z8" s="362"/>
      <c r="AA8" s="362"/>
      <c r="AB8" s="362"/>
      <c r="AC8" s="362"/>
    </row>
    <row r="9" spans="1:36" s="210" customFormat="1">
      <c r="B9" s="353"/>
      <c r="C9" s="221"/>
      <c r="D9" s="363"/>
      <c r="E9"/>
      <c r="F9" s="360"/>
      <c r="G9" s="360"/>
      <c r="H9" s="360"/>
      <c r="I9" s="360"/>
      <c r="J9" s="360"/>
      <c r="K9" s="360"/>
      <c r="L9" s="360"/>
      <c r="M9" s="360"/>
      <c r="N9" s="361"/>
      <c r="O9" s="361"/>
      <c r="P9" s="361"/>
      <c r="Q9" s="361"/>
      <c r="R9" s="360"/>
      <c r="S9" s="360"/>
      <c r="T9" s="360"/>
      <c r="U9" s="360"/>
      <c r="V9" s="362"/>
      <c r="W9" s="362"/>
      <c r="X9" s="362"/>
      <c r="Y9" s="362"/>
      <c r="Z9" s="362"/>
      <c r="AA9" s="362"/>
      <c r="AB9" s="362"/>
      <c r="AC9" s="362"/>
    </row>
    <row r="10" spans="1:36" s="210" customFormat="1">
      <c r="B10" s="359" t="s">
        <v>450</v>
      </c>
      <c r="C10" s="221" t="s">
        <v>3</v>
      </c>
      <c r="D10" s="395">
        <v>0.75</v>
      </c>
      <c r="E10"/>
      <c r="F10" s="360"/>
      <c r="G10" s="360"/>
      <c r="H10" s="360"/>
      <c r="I10" s="360"/>
      <c r="J10" s="360"/>
      <c r="K10" s="360"/>
      <c r="L10" s="360"/>
      <c r="M10" s="360"/>
      <c r="N10" s="361"/>
      <c r="O10" s="361"/>
      <c r="P10" s="361"/>
      <c r="Q10" s="361"/>
      <c r="R10" s="360"/>
      <c r="S10" s="360"/>
      <c r="T10" s="360"/>
      <c r="U10" s="360"/>
      <c r="V10" s="362"/>
      <c r="W10" s="362"/>
      <c r="X10" s="362"/>
      <c r="Y10" s="362"/>
      <c r="Z10" s="362"/>
      <c r="AA10" s="362"/>
      <c r="AB10" s="362"/>
      <c r="AC10" s="362"/>
    </row>
    <row r="11" spans="1:36" s="210" customFormat="1">
      <c r="B11" s="353"/>
      <c r="C11" s="221"/>
      <c r="D11" s="363"/>
      <c r="E11"/>
      <c r="F11" s="360"/>
      <c r="G11" s="360"/>
      <c r="H11" s="360"/>
      <c r="I11" s="360"/>
      <c r="J11" s="360"/>
      <c r="K11" s="360"/>
      <c r="L11" s="360"/>
      <c r="M11" s="360"/>
      <c r="N11" s="361"/>
      <c r="O11" s="361"/>
      <c r="P11" s="361"/>
      <c r="Q11" s="361"/>
      <c r="R11" s="360"/>
      <c r="S11" s="360"/>
      <c r="T11" s="360"/>
      <c r="U11" s="360"/>
      <c r="V11" s="362"/>
      <c r="W11" s="362"/>
      <c r="X11" s="362"/>
      <c r="Y11" s="362"/>
      <c r="Z11" s="362"/>
      <c r="AA11" s="362"/>
      <c r="AB11" s="362"/>
      <c r="AC11" s="362"/>
    </row>
    <row r="12" spans="1:36" s="352" customFormat="1" ht="12">
      <c r="B12" s="352" t="s">
        <v>47</v>
      </c>
    </row>
    <row r="13" spans="1:36" s="210" customFormat="1">
      <c r="B13" s="364" t="s">
        <v>222</v>
      </c>
      <c r="C13" s="129"/>
      <c r="D13" s="365"/>
      <c r="E13"/>
      <c r="F13" s="360"/>
      <c r="G13" s="360"/>
      <c r="H13" s="360"/>
      <c r="I13" s="360"/>
      <c r="J13" s="360"/>
      <c r="K13" s="360"/>
      <c r="L13" s="360"/>
      <c r="M13" s="360"/>
      <c r="N13" s="360"/>
      <c r="O13" s="360"/>
      <c r="P13" s="360"/>
      <c r="Q13" s="360"/>
      <c r="R13" s="360"/>
      <c r="S13" s="360"/>
      <c r="T13" s="360"/>
      <c r="U13" s="360"/>
      <c r="V13" s="362"/>
      <c r="W13" s="362"/>
      <c r="X13" s="362"/>
      <c r="Y13" s="362"/>
      <c r="Z13" s="362"/>
      <c r="AA13" s="362"/>
      <c r="AB13" s="362"/>
      <c r="AC13" s="362"/>
    </row>
    <row r="14" spans="1:36" s="210" customFormat="1">
      <c r="B14" s="353" t="s">
        <v>255</v>
      </c>
      <c r="C14" s="221" t="s">
        <v>329</v>
      </c>
      <c r="D14" s="396">
        <v>135.11000000000001</v>
      </c>
      <c r="E14"/>
      <c r="F14" s="360"/>
      <c r="G14" s="360"/>
      <c r="H14" s="360"/>
      <c r="I14" s="360"/>
      <c r="J14" s="360"/>
      <c r="K14" s="360"/>
      <c r="L14" s="360"/>
      <c r="M14" s="360"/>
      <c r="N14"/>
      <c r="O14"/>
      <c r="P14"/>
      <c r="Q14"/>
      <c r="R14" s="360"/>
      <c r="S14" s="360"/>
      <c r="T14" s="360"/>
      <c r="U14" s="360"/>
      <c r="V14" s="362"/>
      <c r="W14" s="362"/>
      <c r="X14" s="362"/>
      <c r="Y14" s="362"/>
      <c r="Z14" s="362"/>
      <c r="AA14" s="362"/>
      <c r="AB14" s="362"/>
      <c r="AC14" s="362"/>
    </row>
    <row r="15" spans="1:36" s="210" customFormat="1">
      <c r="B15" s="353" t="s">
        <v>256</v>
      </c>
      <c r="C15" s="221" t="s">
        <v>329</v>
      </c>
      <c r="D15" s="396">
        <v>110.89</v>
      </c>
      <c r="E15"/>
      <c r="N15"/>
      <c r="O15"/>
      <c r="P15"/>
      <c r="Q15"/>
    </row>
    <row r="16" spans="1:36" s="210" customFormat="1">
      <c r="B16" s="353" t="s">
        <v>257</v>
      </c>
      <c r="C16" s="221" t="s">
        <v>329</v>
      </c>
      <c r="D16" s="396">
        <v>10.37</v>
      </c>
      <c r="E16"/>
      <c r="N16"/>
      <c r="O16"/>
      <c r="P16"/>
      <c r="Q16"/>
    </row>
    <row r="17" spans="1:17" s="210" customFormat="1">
      <c r="B17" s="353" t="s">
        <v>51</v>
      </c>
      <c r="C17" s="221" t="s">
        <v>329</v>
      </c>
      <c r="D17" s="396">
        <v>81.06</v>
      </c>
      <c r="E17"/>
      <c r="N17"/>
      <c r="O17"/>
      <c r="P17"/>
      <c r="Q17"/>
    </row>
    <row r="18" spans="1:17" s="210" customFormat="1">
      <c r="B18" s="353" t="s">
        <v>330</v>
      </c>
      <c r="C18" s="221" t="s">
        <v>3</v>
      </c>
      <c r="D18" s="395">
        <v>0.1</v>
      </c>
      <c r="E18" s="358"/>
      <c r="N18"/>
      <c r="O18"/>
      <c r="P18"/>
      <c r="Q18"/>
    </row>
    <row r="19" spans="1:17" s="210" customFormat="1">
      <c r="B19" s="353" t="s">
        <v>331</v>
      </c>
      <c r="C19" s="221" t="s">
        <v>3</v>
      </c>
      <c r="D19" s="395">
        <v>0.05</v>
      </c>
      <c r="E19" s="358"/>
      <c r="N19"/>
      <c r="O19"/>
      <c r="P19"/>
      <c r="Q19"/>
    </row>
    <row r="20" spans="1:17" s="210" customFormat="1">
      <c r="B20" s="353" t="s">
        <v>332</v>
      </c>
      <c r="C20" s="221" t="s">
        <v>3</v>
      </c>
      <c r="D20" s="395">
        <v>0.1</v>
      </c>
      <c r="N20"/>
      <c r="O20"/>
      <c r="P20"/>
      <c r="Q20"/>
    </row>
    <row r="21" spans="1:17" s="210" customFormat="1" ht="12">
      <c r="B21" s="353"/>
      <c r="C21" s="221"/>
      <c r="D21" s="366"/>
    </row>
    <row r="22" spans="1:17" s="210" customFormat="1" ht="12">
      <c r="B22" s="367" t="s">
        <v>420</v>
      </c>
      <c r="C22" s="221" t="s">
        <v>329</v>
      </c>
      <c r="D22" s="368">
        <f>(SUM(D14:D17)*(1+SUM(D18:D20)))</f>
        <v>421.78750000000002</v>
      </c>
    </row>
    <row r="23" spans="1:17" s="210" customFormat="1" ht="12">
      <c r="B23" s="367"/>
      <c r="C23" s="221"/>
      <c r="D23" s="369"/>
      <c r="F23" s="370"/>
    </row>
    <row r="24" spans="1:17" s="210" customFormat="1" ht="12">
      <c r="B24" s="364" t="s">
        <v>340</v>
      </c>
      <c r="C24" s="221"/>
      <c r="F24" s="370"/>
    </row>
    <row r="25" spans="1:17" s="210" customFormat="1" ht="12">
      <c r="B25" s="371" t="s">
        <v>328</v>
      </c>
      <c r="C25" s="221"/>
    </row>
    <row r="26" spans="1:17" s="210" customFormat="1" ht="12">
      <c r="B26" s="211" t="s">
        <v>421</v>
      </c>
      <c r="C26" s="221" t="s">
        <v>156</v>
      </c>
      <c r="D26" s="397">
        <v>10</v>
      </c>
      <c r="F26" s="370"/>
      <c r="H26" s="212" t="s">
        <v>570</v>
      </c>
    </row>
    <row r="27" spans="1:17" s="210" customFormat="1" ht="12">
      <c r="B27" s="372" t="s">
        <v>321</v>
      </c>
      <c r="C27" s="221" t="s">
        <v>21</v>
      </c>
      <c r="D27" s="373">
        <f>F27*$D$26</f>
        <v>22762.012525999999</v>
      </c>
      <c r="F27" s="398">
        <v>2276.2012525999999</v>
      </c>
      <c r="G27" s="374" t="s">
        <v>569</v>
      </c>
      <c r="H27" s="375">
        <v>400</v>
      </c>
    </row>
    <row r="28" spans="1:17" s="210" customFormat="1" ht="12">
      <c r="B28" s="372" t="s">
        <v>362</v>
      </c>
      <c r="C28" s="221" t="s">
        <v>21</v>
      </c>
      <c r="D28" s="373">
        <f t="shared" ref="D28:D31" si="0">F28*$D$26</f>
        <v>11857.546030000003</v>
      </c>
      <c r="F28" s="398">
        <v>1185.7546030000003</v>
      </c>
      <c r="G28" s="374" t="s">
        <v>569</v>
      </c>
      <c r="H28" s="375">
        <v>300</v>
      </c>
    </row>
    <row r="29" spans="1:17" s="210" customFormat="1" ht="12">
      <c r="B29" s="372" t="s">
        <v>363</v>
      </c>
      <c r="C29" s="221" t="s">
        <v>21</v>
      </c>
      <c r="D29" s="373">
        <f t="shared" si="0"/>
        <v>49275.780763000002</v>
      </c>
      <c r="F29" s="398">
        <v>4927.5780763000002</v>
      </c>
      <c r="G29" s="374" t="s">
        <v>569</v>
      </c>
      <c r="H29" s="375">
        <v>500</v>
      </c>
    </row>
    <row r="30" spans="1:17" s="210" customFormat="1" ht="12">
      <c r="B30" s="372" t="s">
        <v>364</v>
      </c>
      <c r="C30" s="221" t="s">
        <v>21</v>
      </c>
      <c r="D30" s="373">
        <f t="shared" si="0"/>
        <v>11857.546030000003</v>
      </c>
      <c r="F30" s="398">
        <v>1185.7546030000003</v>
      </c>
      <c r="G30" s="374" t="s">
        <v>569</v>
      </c>
      <c r="H30" s="375">
        <v>300</v>
      </c>
    </row>
    <row r="31" spans="1:17" s="210" customFormat="1" ht="12">
      <c r="B31" s="372" t="s">
        <v>322</v>
      </c>
      <c r="C31" s="221" t="s">
        <v>21</v>
      </c>
      <c r="D31" s="373">
        <f t="shared" si="0"/>
        <v>11857.546030000003</v>
      </c>
      <c r="F31" s="398">
        <v>1185.7546030000003</v>
      </c>
      <c r="G31" s="374" t="s">
        <v>569</v>
      </c>
      <c r="H31" s="375">
        <v>300</v>
      </c>
    </row>
    <row r="32" spans="1:17" s="210" customFormat="1">
      <c r="A32" s="227"/>
      <c r="B32" s="364"/>
      <c r="C32" s="221"/>
      <c r="F32"/>
    </row>
    <row r="33" spans="1:36" s="210" customFormat="1" ht="12">
      <c r="A33" s="227"/>
    </row>
    <row r="34" spans="1:36" s="210" customFormat="1" ht="12">
      <c r="A34" s="227"/>
      <c r="B34" s="371" t="s">
        <v>353</v>
      </c>
      <c r="C34" s="221" t="s">
        <v>153</v>
      </c>
      <c r="D34" s="394">
        <v>477.33839238461536</v>
      </c>
    </row>
    <row r="35" spans="1:36" s="210" customFormat="1" ht="12">
      <c r="A35" s="227"/>
      <c r="B35" s="211" t="s">
        <v>346</v>
      </c>
      <c r="C35" s="221" t="s">
        <v>155</v>
      </c>
      <c r="D35" s="397">
        <v>1</v>
      </c>
    </row>
    <row r="36" spans="1:36" s="227" customFormat="1" ht="6.6" customHeight="1">
      <c r="B36" s="353"/>
      <c r="C36" s="376"/>
      <c r="D36" s="369"/>
    </row>
    <row r="37" spans="1:36" s="377" customFormat="1" ht="12" customHeight="1">
      <c r="B37" s="372" t="s">
        <v>321</v>
      </c>
      <c r="C37" s="221" t="s">
        <v>21</v>
      </c>
      <c r="D37" s="378"/>
      <c r="E37" s="213">
        <f>SUM(F37:AC37)</f>
        <v>4296.0455314615383</v>
      </c>
      <c r="F37" s="379">
        <f>$D$34*$D$35*1000*'Premissas e Cálculos'!$D$72*('Premissas e Cálculos'!E160)/1000</f>
        <v>0</v>
      </c>
      <c r="G37" s="379">
        <f>$D$34*$D$35*1000*'Premissas e Cálculos'!$D$72*('Premissas e Cálculos'!F160-'Premissas e Cálculos'!E160)/1000</f>
        <v>0</v>
      </c>
      <c r="H37" s="379">
        <f>$D$34*$D$35*1000*'Premissas e Cálculos'!$D$72*('Premissas e Cálculos'!G160-'Premissas e Cálculos'!F160)/1000</f>
        <v>0</v>
      </c>
      <c r="I37" s="379">
        <f>$D$34*$D$35*1000*'Premissas e Cálculos'!$D$72*('Premissas e Cálculos'!H160-'Premissas e Cálculos'!G160)/1000</f>
        <v>2148.0227657307692</v>
      </c>
      <c r="J37" s="379">
        <f>$D$34*$D$35*1000*'Premissas e Cálculos'!$D$72*('Premissas e Cálculos'!I160-'Premissas e Cálculos'!H160)/1000</f>
        <v>2148.0227657307692</v>
      </c>
      <c r="K37" s="379">
        <f>$D$34*$D$35*1000*'Premissas e Cálculos'!$D$72*('Premissas e Cálculos'!J160-'Premissas e Cálculos'!I160)/1000</f>
        <v>0</v>
      </c>
      <c r="L37" s="379">
        <f>$D$34*$D$35*1000*'Premissas e Cálculos'!$D$72*('Premissas e Cálculos'!K160-'Premissas e Cálculos'!J160)/1000</f>
        <v>0</v>
      </c>
      <c r="M37" s="379">
        <f>$D$34*$D$35*1000*'Premissas e Cálculos'!$D$72*('Premissas e Cálculos'!L160-'Premissas e Cálculos'!K160)/1000</f>
        <v>0</v>
      </c>
      <c r="N37" s="379">
        <f>$D$34*$D$35*1000*'Premissas e Cálculos'!$D$72*('Premissas e Cálculos'!M160-'Premissas e Cálculos'!L160)/1000</f>
        <v>0</v>
      </c>
      <c r="O37" s="379">
        <f>$D$34*$D$35*1000*'Premissas e Cálculos'!$D$72*('Premissas e Cálculos'!N160-'Premissas e Cálculos'!M160)/1000</f>
        <v>0</v>
      </c>
      <c r="P37" s="379">
        <f>$D$34*$D$35*1000*'Premissas e Cálculos'!$D$72*('Premissas e Cálculos'!O160-'Premissas e Cálculos'!N160)/1000</f>
        <v>0</v>
      </c>
      <c r="Q37" s="379">
        <f>$D$34*$D$35*1000*'Premissas e Cálculos'!$D$72*('Premissas e Cálculos'!P160-'Premissas e Cálculos'!O160)/1000</f>
        <v>0</v>
      </c>
      <c r="R37" s="379">
        <f>$D$34*$D$35*1000*'Premissas e Cálculos'!$D$72*('Premissas e Cálculos'!Q160-'Premissas e Cálculos'!P160)/1000</f>
        <v>0</v>
      </c>
      <c r="S37" s="379">
        <f>$D$34*$D$35*1000*'Premissas e Cálculos'!$D$72*('Premissas e Cálculos'!R160-'Premissas e Cálculos'!Q160)/1000</f>
        <v>0</v>
      </c>
      <c r="T37" s="379">
        <f>$D$34*$D$35*1000*'Premissas e Cálculos'!$D$72*('Premissas e Cálculos'!S160-'Premissas e Cálculos'!R160)/1000</f>
        <v>0</v>
      </c>
      <c r="U37" s="379">
        <f>$D$34*$D$35*1000*'Premissas e Cálculos'!$D$72*('Premissas e Cálculos'!T160-'Premissas e Cálculos'!S160)/1000</f>
        <v>0</v>
      </c>
      <c r="V37" s="379">
        <f>$D$34*$D$35*1000*'Premissas e Cálculos'!$D$72*('Premissas e Cálculos'!U160-'Premissas e Cálculos'!T160)/1000</f>
        <v>0</v>
      </c>
      <c r="W37" s="379">
        <f>$D$34*$D$35*1000*'Premissas e Cálculos'!$D$72*('Premissas e Cálculos'!V160-'Premissas e Cálculos'!U160)/1000</f>
        <v>0</v>
      </c>
      <c r="X37" s="379">
        <f>$D$34*$D$35*1000*'Premissas e Cálculos'!$D$72*('Premissas e Cálculos'!W160-'Premissas e Cálculos'!V160)/1000</f>
        <v>0</v>
      </c>
      <c r="Y37" s="379">
        <f>$D$34*$D$35*1000*'Premissas e Cálculos'!$D$72*('Premissas e Cálculos'!X160-'Premissas e Cálculos'!W160)/1000</f>
        <v>0</v>
      </c>
      <c r="Z37" s="379">
        <f>$D$34*$D$35*1000*'Premissas e Cálculos'!$D$72*('Premissas e Cálculos'!Y160-'Premissas e Cálculos'!X160)/1000</f>
        <v>0</v>
      </c>
      <c r="AA37" s="379">
        <f>$D$34*$D$35*1000*'Premissas e Cálculos'!$D$72*('Premissas e Cálculos'!Z160-'Premissas e Cálculos'!Y160)/1000</f>
        <v>0</v>
      </c>
      <c r="AB37" s="379">
        <f>$D$34*$D$35*1000*'Premissas e Cálculos'!$D$72*('Premissas e Cálculos'!AA160-'Premissas e Cálculos'!Z160)/1000</f>
        <v>0</v>
      </c>
      <c r="AC37" s="379">
        <f>$D$34*$D$35*1000*'Premissas e Cálculos'!$D$72*('Premissas e Cálculos'!AB160-'Premissas e Cálculos'!AA160)/1000</f>
        <v>0</v>
      </c>
      <c r="AD37" s="379">
        <f>$D$34*$D$35*1000*'Premissas e Cálculos'!$D$72*('Premissas e Cálculos'!AC160-'Premissas e Cálculos'!AB160)/1000</f>
        <v>0</v>
      </c>
      <c r="AE37" s="379">
        <f>$D$34*$D$35*1000*'Premissas e Cálculos'!$D$72*('Premissas e Cálculos'!AD160-'Premissas e Cálculos'!AC160)/1000</f>
        <v>0</v>
      </c>
      <c r="AF37" s="379">
        <f>$D$34*$D$35*1000*'Premissas e Cálculos'!$D$72*('Premissas e Cálculos'!AE160-'Premissas e Cálculos'!AD160)/1000</f>
        <v>0</v>
      </c>
      <c r="AG37" s="379">
        <f>$D$34*$D$35*1000*'Premissas e Cálculos'!$D$72*('Premissas e Cálculos'!AF160-'Premissas e Cálculos'!AE160)/1000</f>
        <v>0</v>
      </c>
      <c r="AH37" s="379">
        <f>$D$34*$D$35*1000*'Premissas e Cálculos'!$D$72*('Premissas e Cálculos'!AG160-'Premissas e Cálculos'!AF160)/1000</f>
        <v>0</v>
      </c>
      <c r="AI37" s="379">
        <f>$D$34*$D$35*1000*'Premissas e Cálculos'!$D$72*('Premissas e Cálculos'!AH160-'Premissas e Cálculos'!AG160)/1000</f>
        <v>0</v>
      </c>
      <c r="AJ37" s="379">
        <f>$D$34*$D$35*1000*'Premissas e Cálculos'!$D$72*('Premissas e Cálculos'!AI160-'Premissas e Cálculos'!AH160)/1000</f>
        <v>0</v>
      </c>
    </row>
    <row r="38" spans="1:36" s="379" customFormat="1" ht="12">
      <c r="A38" s="227"/>
      <c r="B38" s="372" t="s">
        <v>362</v>
      </c>
      <c r="C38" s="221" t="s">
        <v>21</v>
      </c>
      <c r="D38" s="227"/>
      <c r="E38" s="213">
        <f t="shared" ref="E38:E41" si="1">SUM(F38:AC38)</f>
        <v>0</v>
      </c>
      <c r="F38" s="379">
        <f>$D$34*$D$35*1000*'Premissas e Cálculos'!$E$72*('Premissas e Cálculos'!E161)/1000</f>
        <v>0</v>
      </c>
      <c r="G38" s="379">
        <f>$D$34*$D$35*1000*'Premissas e Cálculos'!$E$72*('Premissas e Cálculos'!F161-'Premissas e Cálculos'!E161)/1000</f>
        <v>0</v>
      </c>
      <c r="H38" s="379">
        <f>$D$34*$D$35*1000*'Premissas e Cálculos'!$E$72*('Premissas e Cálculos'!G161-'Premissas e Cálculos'!F161)/1000</f>
        <v>0</v>
      </c>
      <c r="I38" s="379">
        <f>$D$34*$D$35*1000*'Premissas e Cálculos'!$E$72*('Premissas e Cálculos'!H161-'Premissas e Cálculos'!G161)/1000</f>
        <v>0</v>
      </c>
      <c r="J38" s="379">
        <f>$D$34*$D$35*1000*'Premissas e Cálculos'!$E$72*('Premissas e Cálculos'!I161-'Premissas e Cálculos'!H161)/1000</f>
        <v>0</v>
      </c>
      <c r="K38" s="379">
        <f>$D$34*$D$35*1000*'Premissas e Cálculos'!$E$72*('Premissas e Cálculos'!J161-'Premissas e Cálculos'!I161)/1000</f>
        <v>0</v>
      </c>
      <c r="L38" s="379">
        <f>$D$34*$D$35*1000*'Premissas e Cálculos'!$E$72*('Premissas e Cálculos'!K161-'Premissas e Cálculos'!J161)/1000</f>
        <v>0</v>
      </c>
      <c r="M38" s="379">
        <f>$D$34*$D$35*1000*'Premissas e Cálculos'!$E$72*('Premissas e Cálculos'!L161-'Premissas e Cálculos'!K161)/1000</f>
        <v>0</v>
      </c>
      <c r="N38" s="379">
        <f>$D$34*$D$35*1000*'Premissas e Cálculos'!$E$72*('Premissas e Cálculos'!M161-'Premissas e Cálculos'!L161)/1000</f>
        <v>0</v>
      </c>
      <c r="O38" s="379">
        <f>$D$34*$D$35*1000*'Premissas e Cálculos'!$E$72*('Premissas e Cálculos'!N161-'Premissas e Cálculos'!M161)/1000</f>
        <v>0</v>
      </c>
      <c r="P38" s="379">
        <f>$D$34*$D$35*1000*'Premissas e Cálculos'!$E$72*('Premissas e Cálculos'!O161-'Premissas e Cálculos'!N161)/1000</f>
        <v>0</v>
      </c>
      <c r="Q38" s="379">
        <f>$D$34*$D$35*1000*'Premissas e Cálculos'!$E$72*('Premissas e Cálculos'!P161-'Premissas e Cálculos'!O161)/1000</f>
        <v>0</v>
      </c>
      <c r="R38" s="379">
        <f>$D$34*$D$35*1000*'Premissas e Cálculos'!$E$72*('Premissas e Cálculos'!Q161-'Premissas e Cálculos'!P161)/1000</f>
        <v>0</v>
      </c>
      <c r="S38" s="379">
        <f>$D$34*$D$35*1000*'Premissas e Cálculos'!$E$72*('Premissas e Cálculos'!R161-'Premissas e Cálculos'!Q161)/1000</f>
        <v>0</v>
      </c>
      <c r="T38" s="379">
        <f>$D$34*$D$35*1000*'Premissas e Cálculos'!$E$72*('Premissas e Cálculos'!S161-'Premissas e Cálculos'!R161)/1000</f>
        <v>0</v>
      </c>
      <c r="U38" s="379">
        <f>$D$34*$D$35*1000*'Premissas e Cálculos'!$E$72*('Premissas e Cálculos'!T161-'Premissas e Cálculos'!S161)/1000</f>
        <v>0</v>
      </c>
      <c r="V38" s="379">
        <f>$D$34*$D$35*1000*'Premissas e Cálculos'!$E$72*('Premissas e Cálculos'!U161-'Premissas e Cálculos'!T161)/1000</f>
        <v>0</v>
      </c>
      <c r="W38" s="379">
        <f>$D$34*$D$35*1000*'Premissas e Cálculos'!$E$72*('Premissas e Cálculos'!V161-'Premissas e Cálculos'!U161)/1000</f>
        <v>0</v>
      </c>
      <c r="X38" s="379">
        <f>$D$34*$D$35*1000*'Premissas e Cálculos'!$E$72*('Premissas e Cálculos'!W161-'Premissas e Cálculos'!V161)/1000</f>
        <v>0</v>
      </c>
      <c r="Y38" s="379">
        <f>$D$34*$D$35*1000*'Premissas e Cálculos'!$E$72*('Premissas e Cálculos'!X161-'Premissas e Cálculos'!W161)/1000</f>
        <v>0</v>
      </c>
      <c r="Z38" s="379">
        <f>$D$34*$D$35*1000*'Premissas e Cálculos'!$E$72*('Premissas e Cálculos'!Y161-'Premissas e Cálculos'!X161)/1000</f>
        <v>0</v>
      </c>
      <c r="AA38" s="379">
        <f>$D$34*$D$35*1000*'Premissas e Cálculos'!$E$72*('Premissas e Cálculos'!Z161-'Premissas e Cálculos'!Y161)/1000</f>
        <v>0</v>
      </c>
      <c r="AB38" s="379">
        <f>$D$34*$D$35*1000*'Premissas e Cálculos'!$E$72*('Premissas e Cálculos'!AA161-'Premissas e Cálculos'!Z161)/1000</f>
        <v>0</v>
      </c>
      <c r="AC38" s="379">
        <f>$D$34*$D$35*1000*'Premissas e Cálculos'!$E$72*('Premissas e Cálculos'!AB161-'Premissas e Cálculos'!AA161)/1000</f>
        <v>0</v>
      </c>
      <c r="AD38" s="379">
        <f>$D$34*$D$35*1000*'Premissas e Cálculos'!$E$72*('Premissas e Cálculos'!AC161-'Premissas e Cálculos'!AB161)/1000</f>
        <v>0</v>
      </c>
      <c r="AE38" s="379">
        <f>$D$34*$D$35*1000*'Premissas e Cálculos'!$E$72*('Premissas e Cálculos'!AD161-'Premissas e Cálculos'!AC161)/1000</f>
        <v>0</v>
      </c>
      <c r="AF38" s="379">
        <f>$D$34*$D$35*1000*'Premissas e Cálculos'!$E$72*('Premissas e Cálculos'!AE161-'Premissas e Cálculos'!AD161)/1000</f>
        <v>0</v>
      </c>
      <c r="AG38" s="379">
        <f>$D$34*$D$35*1000*'Premissas e Cálculos'!$E$72*('Premissas e Cálculos'!AF161-'Premissas e Cálculos'!AE161)/1000</f>
        <v>0</v>
      </c>
      <c r="AH38" s="379">
        <f>$D$34*$D$35*1000*'Premissas e Cálculos'!$E$72*('Premissas e Cálculos'!AG161-'Premissas e Cálculos'!AF161)/1000</f>
        <v>0</v>
      </c>
      <c r="AI38" s="379">
        <f>$D$34*$D$35*1000*'Premissas e Cálculos'!$E$72*('Premissas e Cálculos'!AH161-'Premissas e Cálculos'!AG161)/1000</f>
        <v>0</v>
      </c>
      <c r="AJ38" s="379">
        <f>$D$34*$D$35*1000*'Premissas e Cálculos'!$E$72*('Premissas e Cálculos'!AI161-'Premissas e Cálculos'!AH161)/1000</f>
        <v>0</v>
      </c>
    </row>
    <row r="39" spans="1:36" s="379" customFormat="1" ht="12">
      <c r="A39" s="227"/>
      <c r="B39" s="372" t="s">
        <v>363</v>
      </c>
      <c r="C39" s="221" t="s">
        <v>21</v>
      </c>
      <c r="D39" s="380"/>
      <c r="E39" s="213">
        <f t="shared" si="1"/>
        <v>7160.0758857692299</v>
      </c>
      <c r="F39" s="379">
        <f>$D$34*$D$35*1000*'Premissas e Cálculos'!$F$72*('Premissas e Cálculos'!E162)/1000</f>
        <v>0</v>
      </c>
      <c r="G39" s="379">
        <f>$D$34*$D$35*1000*'Premissas e Cálculos'!$F$72*('Premissas e Cálculos'!F162-'Premissas e Cálculos'!E162)/1000</f>
        <v>0</v>
      </c>
      <c r="H39" s="379">
        <f>$D$34*$D$35*1000*'Premissas e Cálculos'!$F$72*('Premissas e Cálculos'!G162-'Premissas e Cálculos'!F162)/1000</f>
        <v>0</v>
      </c>
      <c r="I39" s="379">
        <f>$D$34*$D$35*1000*'Premissas e Cálculos'!$F$72*('Premissas e Cálculos'!H162-'Premissas e Cálculos'!G162)/1000</f>
        <v>0</v>
      </c>
      <c r="J39" s="379">
        <f>$D$34*$D$35*1000*'Premissas e Cálculos'!$F$72*('Premissas e Cálculos'!I162-'Premissas e Cálculos'!H162)/1000</f>
        <v>0</v>
      </c>
      <c r="K39" s="379">
        <f>$D$34*$D$35*1000*'Premissas e Cálculos'!$F$72*('Premissas e Cálculos'!J162-'Premissas e Cálculos'!I162)/1000</f>
        <v>0</v>
      </c>
      <c r="L39" s="379">
        <f>$D$34*$D$35*1000*'Premissas e Cálculos'!$F$72*('Premissas e Cálculos'!K162-'Premissas e Cálculos'!J162)/1000</f>
        <v>3580.0379428846149</v>
      </c>
      <c r="M39" s="379">
        <f>$D$34*$D$35*1000*'Premissas e Cálculos'!$F$72*('Premissas e Cálculos'!L162-'Premissas e Cálculos'!K162)/1000</f>
        <v>3580.0379428846149</v>
      </c>
      <c r="N39" s="379">
        <f>$D$34*$D$35*1000*'Premissas e Cálculos'!$F$72*('Premissas e Cálculos'!M162-'Premissas e Cálculos'!L162)/1000</f>
        <v>0</v>
      </c>
      <c r="O39" s="379">
        <f>$D$34*$D$35*1000*'Premissas e Cálculos'!$F$72*('Premissas e Cálculos'!N162-'Premissas e Cálculos'!M162)/1000</f>
        <v>0</v>
      </c>
      <c r="P39" s="379">
        <f>$D$34*$D$35*1000*'Premissas e Cálculos'!$F$72*('Premissas e Cálculos'!O162-'Premissas e Cálculos'!N162)/1000</f>
        <v>0</v>
      </c>
      <c r="Q39" s="379">
        <f>$D$34*$D$35*1000*'Premissas e Cálculos'!$F$72*('Premissas e Cálculos'!P162-'Premissas e Cálculos'!O162)/1000</f>
        <v>0</v>
      </c>
      <c r="R39" s="379">
        <f>$D$34*$D$35*1000*'Premissas e Cálculos'!$F$72*('Premissas e Cálculos'!Q162-'Premissas e Cálculos'!P162)/1000</f>
        <v>0</v>
      </c>
      <c r="S39" s="379">
        <f>$D$34*$D$35*1000*'Premissas e Cálculos'!$F$72*('Premissas e Cálculos'!R162-'Premissas e Cálculos'!Q162)/1000</f>
        <v>0</v>
      </c>
      <c r="T39" s="379">
        <f>$D$34*$D$35*1000*'Premissas e Cálculos'!$F$72*('Premissas e Cálculos'!S162-'Premissas e Cálculos'!R162)/1000</f>
        <v>0</v>
      </c>
      <c r="U39" s="379">
        <f>$D$34*$D$35*1000*'Premissas e Cálculos'!$F$72*('Premissas e Cálculos'!T162-'Premissas e Cálculos'!S162)/1000</f>
        <v>0</v>
      </c>
      <c r="V39" s="379">
        <f>$D$34*$D$35*1000*'Premissas e Cálculos'!$F$72*('Premissas e Cálculos'!U162-'Premissas e Cálculos'!T162)/1000</f>
        <v>0</v>
      </c>
      <c r="W39" s="379">
        <f>$D$34*$D$35*1000*'Premissas e Cálculos'!$F$72*('Premissas e Cálculos'!V162-'Premissas e Cálculos'!U162)/1000</f>
        <v>0</v>
      </c>
      <c r="X39" s="379">
        <f>$D$34*$D$35*1000*'Premissas e Cálculos'!$F$72*('Premissas e Cálculos'!W162-'Premissas e Cálculos'!V162)/1000</f>
        <v>0</v>
      </c>
      <c r="Y39" s="379">
        <f>$D$34*$D$35*1000*'Premissas e Cálculos'!$F$72*('Premissas e Cálculos'!X162-'Premissas e Cálculos'!W162)/1000</f>
        <v>0</v>
      </c>
      <c r="Z39" s="379">
        <f>$D$34*$D$35*1000*'Premissas e Cálculos'!$F$72*('Premissas e Cálculos'!Y162-'Premissas e Cálculos'!X162)/1000</f>
        <v>0</v>
      </c>
      <c r="AA39" s="379">
        <f>$D$34*$D$35*1000*'Premissas e Cálculos'!$F$72*('Premissas e Cálculos'!Z162-'Premissas e Cálculos'!Y162)/1000</f>
        <v>0</v>
      </c>
      <c r="AB39" s="379">
        <f>$D$34*$D$35*1000*'Premissas e Cálculos'!$F$72*('Premissas e Cálculos'!AA162-'Premissas e Cálculos'!Z162)/1000</f>
        <v>0</v>
      </c>
      <c r="AC39" s="379">
        <f>$D$34*$D$35*1000*'Premissas e Cálculos'!$F$72*('Premissas e Cálculos'!AB162-'Premissas e Cálculos'!AA162)/1000</f>
        <v>0</v>
      </c>
      <c r="AD39" s="379">
        <f>$D$34*$D$35*1000*'Premissas e Cálculos'!$F$72*('Premissas e Cálculos'!AC162-'Premissas e Cálculos'!AB162)/1000</f>
        <v>0</v>
      </c>
      <c r="AE39" s="379">
        <f>$D$34*$D$35*1000*'Premissas e Cálculos'!$F$72*('Premissas e Cálculos'!AD162-'Premissas e Cálculos'!AC162)/1000</f>
        <v>0</v>
      </c>
      <c r="AF39" s="379">
        <f>$D$34*$D$35*1000*'Premissas e Cálculos'!$F$72*('Premissas e Cálculos'!AE162-'Premissas e Cálculos'!AD162)/1000</f>
        <v>0</v>
      </c>
      <c r="AG39" s="379">
        <f>$D$34*$D$35*1000*'Premissas e Cálculos'!$F$72*('Premissas e Cálculos'!AF162-'Premissas e Cálculos'!AE162)/1000</f>
        <v>0</v>
      </c>
      <c r="AH39" s="379">
        <f>$D$34*$D$35*1000*'Premissas e Cálculos'!$F$72*('Premissas e Cálculos'!AG162-'Premissas e Cálculos'!AF162)/1000</f>
        <v>0</v>
      </c>
      <c r="AI39" s="379">
        <f>$D$34*$D$35*1000*'Premissas e Cálculos'!$F$72*('Premissas e Cálculos'!AH162-'Premissas e Cálculos'!AG162)/1000</f>
        <v>0</v>
      </c>
      <c r="AJ39" s="379">
        <f>$D$34*$D$35*1000*'Premissas e Cálculos'!$F$72*('Premissas e Cálculos'!AI162-'Premissas e Cálculos'!AH162)/1000</f>
        <v>0</v>
      </c>
    </row>
    <row r="40" spans="1:36" s="379" customFormat="1" ht="12">
      <c r="A40" s="227"/>
      <c r="B40" s="372" t="s">
        <v>364</v>
      </c>
      <c r="C40" s="221" t="s">
        <v>21</v>
      </c>
      <c r="D40" s="380"/>
      <c r="E40" s="213">
        <f t="shared" si="1"/>
        <v>3341.3687466923079</v>
      </c>
      <c r="F40" s="379">
        <f>$D$34*$D$35*1000*'Premissas e Cálculos'!$G$72*('Premissas e Cálculos'!E163)/1000</f>
        <v>0</v>
      </c>
      <c r="G40" s="379">
        <f>$D$34*$D$35*1000*'Premissas e Cálculos'!$G$72*('Premissas e Cálculos'!F163-'Premissas e Cálculos'!E163)/1000</f>
        <v>0</v>
      </c>
      <c r="H40" s="379">
        <f>$D$34*$D$35*1000*'Premissas e Cálculos'!$G$72*('Premissas e Cálculos'!G163-'Premissas e Cálculos'!F163)/1000</f>
        <v>0</v>
      </c>
      <c r="I40" s="379">
        <f>$D$34*$D$35*1000*'Premissas e Cálculos'!$G$72*('Premissas e Cálculos'!H163-'Premissas e Cálculos'!G163)/1000</f>
        <v>0</v>
      </c>
      <c r="J40" s="379">
        <f>$D$34*$D$35*1000*'Premissas e Cálculos'!$G$72*('Premissas e Cálculos'!I163-'Premissas e Cálculos'!H163)/1000</f>
        <v>0</v>
      </c>
      <c r="K40" s="379">
        <f>$D$34*$D$35*1000*'Premissas e Cálculos'!$G$72*('Premissas e Cálculos'!J163-'Premissas e Cálculos'!I163)/1000</f>
        <v>0</v>
      </c>
      <c r="L40" s="379">
        <f>$D$34*$D$35*1000*'Premissas e Cálculos'!$G$72*('Premissas e Cálculos'!K163-'Premissas e Cálculos'!J163)/1000</f>
        <v>0</v>
      </c>
      <c r="M40" s="379">
        <f>$D$34*$D$35*1000*'Premissas e Cálculos'!$G$72*('Premissas e Cálculos'!L163-'Premissas e Cálculos'!K163)/1000</f>
        <v>1670.684373346154</v>
      </c>
      <c r="N40" s="379">
        <f>$D$34*$D$35*1000*'Premissas e Cálculos'!$G$72*('Premissas e Cálculos'!M163-'Premissas e Cálculos'!L163)/1000</f>
        <v>1670.684373346154</v>
      </c>
      <c r="O40" s="379">
        <f>$D$34*$D$35*1000*'Premissas e Cálculos'!$G$72*('Premissas e Cálculos'!N163-'Premissas e Cálculos'!M163)/1000</f>
        <v>0</v>
      </c>
      <c r="P40" s="379">
        <f>$D$34*$D$35*1000*'Premissas e Cálculos'!$G$72*('Premissas e Cálculos'!O163-'Premissas e Cálculos'!N163)/1000</f>
        <v>0</v>
      </c>
      <c r="Q40" s="379">
        <f>$D$34*$D$35*1000*'Premissas e Cálculos'!$G$72*('Premissas e Cálculos'!P163-'Premissas e Cálculos'!O163)/1000</f>
        <v>0</v>
      </c>
      <c r="R40" s="379">
        <f>$D$34*$D$35*1000*'Premissas e Cálculos'!$G$72*('Premissas e Cálculos'!Q163-'Premissas e Cálculos'!P163)/1000</f>
        <v>0</v>
      </c>
      <c r="S40" s="379">
        <f>$D$34*$D$35*1000*'Premissas e Cálculos'!$G$72*('Premissas e Cálculos'!R163-'Premissas e Cálculos'!Q163)/1000</f>
        <v>0</v>
      </c>
      <c r="T40" s="379">
        <f>$D$34*$D$35*1000*'Premissas e Cálculos'!$G$72*('Premissas e Cálculos'!S163-'Premissas e Cálculos'!R163)/1000</f>
        <v>0</v>
      </c>
      <c r="U40" s="379">
        <f>$D$34*$D$35*1000*'Premissas e Cálculos'!$G$72*('Premissas e Cálculos'!T163-'Premissas e Cálculos'!S163)/1000</f>
        <v>0</v>
      </c>
      <c r="V40" s="379">
        <f>$D$34*$D$35*1000*'Premissas e Cálculos'!$G$72*('Premissas e Cálculos'!U163-'Premissas e Cálculos'!T163)/1000</f>
        <v>0</v>
      </c>
      <c r="W40" s="379">
        <f>$D$34*$D$35*1000*'Premissas e Cálculos'!$G$72*('Premissas e Cálculos'!V163-'Premissas e Cálculos'!U163)/1000</f>
        <v>0</v>
      </c>
      <c r="X40" s="379">
        <f>$D$34*$D$35*1000*'Premissas e Cálculos'!$G$72*('Premissas e Cálculos'!W163-'Premissas e Cálculos'!V163)/1000</f>
        <v>0</v>
      </c>
      <c r="Y40" s="379">
        <f>$D$34*$D$35*1000*'Premissas e Cálculos'!$G$72*('Premissas e Cálculos'!X163-'Premissas e Cálculos'!W163)/1000</f>
        <v>0</v>
      </c>
      <c r="Z40" s="379">
        <f>$D$34*$D$35*1000*'Premissas e Cálculos'!$G$72*('Premissas e Cálculos'!Y163-'Premissas e Cálculos'!X163)/1000</f>
        <v>0</v>
      </c>
      <c r="AA40" s="379">
        <f>$D$34*$D$35*1000*'Premissas e Cálculos'!$G$72*('Premissas e Cálculos'!Z163-'Premissas e Cálculos'!Y163)/1000</f>
        <v>0</v>
      </c>
      <c r="AB40" s="379">
        <f>$D$34*$D$35*1000*'Premissas e Cálculos'!$G$72*('Premissas e Cálculos'!AA163-'Premissas e Cálculos'!Z163)/1000</f>
        <v>0</v>
      </c>
      <c r="AC40" s="379">
        <f>$D$34*$D$35*1000*'Premissas e Cálculos'!$G$72*('Premissas e Cálculos'!AB163-'Premissas e Cálculos'!AA163)/1000</f>
        <v>0</v>
      </c>
      <c r="AD40" s="379">
        <f>$D$34*$D$35*1000*'Premissas e Cálculos'!$G$72*('Premissas e Cálculos'!AC163-'Premissas e Cálculos'!AB163)/1000</f>
        <v>0</v>
      </c>
      <c r="AE40" s="379">
        <f>$D$34*$D$35*1000*'Premissas e Cálculos'!$G$72*('Premissas e Cálculos'!AD163-'Premissas e Cálculos'!AC163)/1000</f>
        <v>0</v>
      </c>
      <c r="AF40" s="379">
        <f>$D$34*$D$35*1000*'Premissas e Cálculos'!$G$72*('Premissas e Cálculos'!AE163-'Premissas e Cálculos'!AD163)/1000</f>
        <v>0</v>
      </c>
      <c r="AG40" s="379">
        <f>$D$34*$D$35*1000*'Premissas e Cálculos'!$G$72*('Premissas e Cálculos'!AF163-'Premissas e Cálculos'!AE163)/1000</f>
        <v>0</v>
      </c>
      <c r="AH40" s="379">
        <f>$D$34*$D$35*1000*'Premissas e Cálculos'!$G$72*('Premissas e Cálculos'!AG163-'Premissas e Cálculos'!AF163)/1000</f>
        <v>0</v>
      </c>
      <c r="AI40" s="379">
        <f>$D$34*$D$35*1000*'Premissas e Cálculos'!$G$72*('Premissas e Cálculos'!AH163-'Premissas e Cálculos'!AG163)/1000</f>
        <v>0</v>
      </c>
      <c r="AJ40" s="379">
        <f>$D$34*$D$35*1000*'Premissas e Cálculos'!$G$72*('Premissas e Cálculos'!AI163-'Premissas e Cálculos'!AH163)/1000</f>
        <v>0</v>
      </c>
    </row>
    <row r="41" spans="1:36" s="379" customFormat="1" ht="12">
      <c r="A41" s="227"/>
      <c r="B41" s="372" t="s">
        <v>322</v>
      </c>
      <c r="C41" s="221" t="s">
        <v>21</v>
      </c>
      <c r="D41" s="380"/>
      <c r="E41" s="213">
        <f t="shared" si="1"/>
        <v>2386.6919619230766</v>
      </c>
      <c r="F41" s="379">
        <f>$D$34*$D$35*1000*'Premissas e Cálculos'!$H$72*('Premissas e Cálculos'!E164)/1000</f>
        <v>0</v>
      </c>
      <c r="G41" s="379">
        <f>$D$34*$D$35*1000*'Premissas e Cálculos'!$H$72*('Premissas e Cálculos'!F164-'Premissas e Cálculos'!E164)/1000</f>
        <v>0</v>
      </c>
      <c r="H41" s="379">
        <f>$D$34*$D$35*1000*'Premissas e Cálculos'!$H$72*('Premissas e Cálculos'!G164-'Premissas e Cálculos'!F164)/1000</f>
        <v>0</v>
      </c>
      <c r="I41" s="379">
        <f>$D$34*$D$35*1000*'Premissas e Cálculos'!$H$72*('Premissas e Cálculos'!H164-'Premissas e Cálculos'!G164)/1000</f>
        <v>0</v>
      </c>
      <c r="J41" s="379">
        <f>$D$34*$D$35*1000*'Premissas e Cálculos'!$H$72*('Premissas e Cálculos'!I164-'Premissas e Cálculos'!H164)/1000</f>
        <v>0</v>
      </c>
      <c r="K41" s="379">
        <f>$D$34*$D$35*1000*'Premissas e Cálculos'!$H$72*('Premissas e Cálculos'!J164-'Premissas e Cálculos'!I164)/1000</f>
        <v>0</v>
      </c>
      <c r="L41" s="379">
        <f>$D$34*$D$35*1000*'Premissas e Cálculos'!$H$72*('Premissas e Cálculos'!K164-'Premissas e Cálculos'!J164)/1000</f>
        <v>0</v>
      </c>
      <c r="M41" s="379">
        <f>$D$34*$D$35*1000*'Premissas e Cálculos'!$H$72*('Premissas e Cálculos'!L164-'Premissas e Cálculos'!K164)/1000</f>
        <v>0</v>
      </c>
      <c r="N41" s="379">
        <f>$D$34*$D$35*1000*'Premissas e Cálculos'!$H$72*('Premissas e Cálculos'!M164-'Premissas e Cálculos'!L164)/1000</f>
        <v>1193.3459809615383</v>
      </c>
      <c r="O41" s="379">
        <f>$D$34*$D$35*1000*'Premissas e Cálculos'!$H$72*('Premissas e Cálculos'!N164-'Premissas e Cálculos'!M164)/1000</f>
        <v>1193.3459809615383</v>
      </c>
      <c r="P41" s="379">
        <f>$D$34*$D$35*1000*'Premissas e Cálculos'!$H$72*('Premissas e Cálculos'!O164-'Premissas e Cálculos'!N164)/1000</f>
        <v>0</v>
      </c>
      <c r="Q41" s="379">
        <f>$D$34*$D$35*1000*'Premissas e Cálculos'!$H$72*('Premissas e Cálculos'!P164-'Premissas e Cálculos'!O164)/1000</f>
        <v>0</v>
      </c>
      <c r="R41" s="379">
        <f>$D$34*$D$35*1000*'Premissas e Cálculos'!$H$72*('Premissas e Cálculos'!Q164-'Premissas e Cálculos'!P164)/1000</f>
        <v>0</v>
      </c>
      <c r="S41" s="379">
        <f>$D$34*$D$35*1000*'Premissas e Cálculos'!$H$72*('Premissas e Cálculos'!R164-'Premissas e Cálculos'!Q164)/1000</f>
        <v>0</v>
      </c>
      <c r="T41" s="379">
        <f>$D$34*$D$35*1000*'Premissas e Cálculos'!$H$72*('Premissas e Cálculos'!S164-'Premissas e Cálculos'!R164)/1000</f>
        <v>0</v>
      </c>
      <c r="U41" s="379">
        <f>$D$34*$D$35*1000*'Premissas e Cálculos'!$H$72*('Premissas e Cálculos'!T164-'Premissas e Cálculos'!S164)/1000</f>
        <v>0</v>
      </c>
      <c r="V41" s="379">
        <f>$D$34*$D$35*1000*'Premissas e Cálculos'!$H$72*('Premissas e Cálculos'!U164-'Premissas e Cálculos'!T164)/1000</f>
        <v>0</v>
      </c>
      <c r="W41" s="379">
        <f>$D$34*$D$35*1000*'Premissas e Cálculos'!$H$72*('Premissas e Cálculos'!V164-'Premissas e Cálculos'!U164)/1000</f>
        <v>0</v>
      </c>
      <c r="X41" s="379">
        <f>$D$34*$D$35*1000*'Premissas e Cálculos'!$H$72*('Premissas e Cálculos'!W164-'Premissas e Cálculos'!V164)/1000</f>
        <v>0</v>
      </c>
      <c r="Y41" s="379">
        <f>$D$34*$D$35*1000*'Premissas e Cálculos'!$H$72*('Premissas e Cálculos'!X164-'Premissas e Cálculos'!W164)/1000</f>
        <v>0</v>
      </c>
      <c r="Z41" s="379">
        <f>$D$34*$D$35*1000*'Premissas e Cálculos'!$H$72*('Premissas e Cálculos'!Y164-'Premissas e Cálculos'!X164)/1000</f>
        <v>0</v>
      </c>
      <c r="AA41" s="379">
        <f>$D$34*$D$35*1000*'Premissas e Cálculos'!$H$72*('Premissas e Cálculos'!Z164-'Premissas e Cálculos'!Y164)/1000</f>
        <v>0</v>
      </c>
      <c r="AB41" s="379">
        <f>$D$34*$D$35*1000*'Premissas e Cálculos'!$H$72*('Premissas e Cálculos'!AA164-'Premissas e Cálculos'!Z164)/1000</f>
        <v>0</v>
      </c>
      <c r="AC41" s="379">
        <f>$D$34*$D$35*1000*'Premissas e Cálculos'!$H$72*('Premissas e Cálculos'!AB164-'Premissas e Cálculos'!AA164)/1000</f>
        <v>0</v>
      </c>
      <c r="AD41" s="379">
        <f>$D$34*$D$35*1000*'Premissas e Cálculos'!$H$72*('Premissas e Cálculos'!AC164-'Premissas e Cálculos'!AB164)/1000</f>
        <v>0</v>
      </c>
      <c r="AE41" s="379">
        <f>$D$34*$D$35*1000*'Premissas e Cálculos'!$H$72*('Premissas e Cálculos'!AD164-'Premissas e Cálculos'!AC164)/1000</f>
        <v>0</v>
      </c>
      <c r="AF41" s="379">
        <f>$D$34*$D$35*1000*'Premissas e Cálculos'!$H$72*('Premissas e Cálculos'!AE164-'Premissas e Cálculos'!AD164)/1000</f>
        <v>0</v>
      </c>
      <c r="AG41" s="379">
        <f>$D$34*$D$35*1000*'Premissas e Cálculos'!$H$72*('Premissas e Cálculos'!AF164-'Premissas e Cálculos'!AE164)/1000</f>
        <v>0</v>
      </c>
      <c r="AH41" s="379">
        <f>$D$34*$D$35*1000*'Premissas e Cálculos'!$H$72*('Premissas e Cálculos'!AG164-'Premissas e Cálculos'!AF164)/1000</f>
        <v>0</v>
      </c>
      <c r="AI41" s="379">
        <f>$D$34*$D$35*1000*'Premissas e Cálculos'!$H$72*('Premissas e Cálculos'!AH164-'Premissas e Cálculos'!AG164)/1000</f>
        <v>0</v>
      </c>
      <c r="AJ41" s="379">
        <f>$D$34*$D$35*1000*'Premissas e Cálculos'!$H$72*('Premissas e Cálculos'!AI164-'Premissas e Cálculos'!AH164)/1000</f>
        <v>0</v>
      </c>
    </row>
    <row r="42" spans="1:36" s="227" customFormat="1" ht="12">
      <c r="B42" s="381"/>
      <c r="C42" s="376"/>
      <c r="D42" s="380"/>
    </row>
    <row r="43" spans="1:36" s="227" customFormat="1" ht="12">
      <c r="B43" s="381"/>
      <c r="C43" s="376"/>
      <c r="D43" s="380"/>
    </row>
    <row r="44" spans="1:36" s="227" customFormat="1" ht="12">
      <c r="B44" s="367" t="s">
        <v>620</v>
      </c>
      <c r="C44" s="221" t="s">
        <v>621</v>
      </c>
      <c r="D44" s="399">
        <v>2.5000000000000001E-2</v>
      </c>
    </row>
    <row r="45" spans="1:36" s="227" customFormat="1" ht="12">
      <c r="B45" s="381"/>
      <c r="C45" s="376"/>
      <c r="D45" s="380"/>
    </row>
    <row r="46" spans="1:36" s="210" customFormat="1" ht="12">
      <c r="B46" s="353"/>
      <c r="C46" s="221"/>
      <c r="D46" s="382"/>
    </row>
    <row r="47" spans="1:36" s="352" customFormat="1" ht="12">
      <c r="B47" s="352" t="s">
        <v>326</v>
      </c>
    </row>
    <row r="48" spans="1:36" s="210" customFormat="1" ht="12.6" customHeight="1">
      <c r="B48" s="364" t="s">
        <v>465</v>
      </c>
      <c r="C48" s="221"/>
      <c r="D48" s="382"/>
    </row>
    <row r="49" spans="1:6" s="210" customFormat="1" ht="12">
      <c r="B49" s="353" t="s">
        <v>334</v>
      </c>
      <c r="C49" s="221" t="s">
        <v>131</v>
      </c>
      <c r="D49" s="394">
        <v>977.82215384615381</v>
      </c>
      <c r="F49" s="383"/>
    </row>
    <row r="50" spans="1:6" s="210" customFormat="1" ht="12">
      <c r="B50" s="353" t="s">
        <v>337</v>
      </c>
      <c r="C50" s="221" t="s">
        <v>131</v>
      </c>
      <c r="D50" s="394">
        <v>261.05900000000003</v>
      </c>
      <c r="F50" s="383"/>
    </row>
    <row r="51" spans="1:6" s="210" customFormat="1" ht="9" customHeight="1">
      <c r="B51" s="353"/>
      <c r="C51" s="221"/>
      <c r="D51" s="384"/>
      <c r="F51" s="383"/>
    </row>
    <row r="52" spans="1:6" s="210" customFormat="1" ht="12">
      <c r="B52" s="211" t="s">
        <v>466</v>
      </c>
      <c r="C52" s="221" t="s">
        <v>131</v>
      </c>
      <c r="D52" s="385">
        <f>SUM(D49:D50)</f>
        <v>1238.8811538461539</v>
      </c>
      <c r="F52" s="386"/>
    </row>
    <row r="53" spans="1:6" s="210" customFormat="1" ht="12">
      <c r="B53" s="353"/>
      <c r="C53" s="221"/>
      <c r="D53" s="387"/>
      <c r="F53" s="386"/>
    </row>
    <row r="54" spans="1:6" s="210" customFormat="1" ht="12">
      <c r="B54" s="353"/>
      <c r="C54" s="221"/>
      <c r="D54" s="387"/>
    </row>
    <row r="55" spans="1:6" s="210" customFormat="1" ht="12">
      <c r="B55" s="364" t="s">
        <v>333</v>
      </c>
      <c r="C55" s="221"/>
      <c r="D55" s="387"/>
    </row>
    <row r="56" spans="1:6" s="210" customFormat="1" ht="12">
      <c r="B56" s="353" t="s">
        <v>334</v>
      </c>
      <c r="C56" s="221" t="s">
        <v>131</v>
      </c>
      <c r="D56" s="400">
        <v>953.14044923076938</v>
      </c>
    </row>
    <row r="57" spans="1:6" s="210" customFormat="1" ht="12">
      <c r="B57" s="353" t="s">
        <v>10</v>
      </c>
      <c r="C57" s="221" t="s">
        <v>8</v>
      </c>
      <c r="D57" s="394">
        <v>0.5</v>
      </c>
      <c r="E57" s="388"/>
    </row>
    <row r="58" spans="1:6" s="210" customFormat="1" ht="12">
      <c r="B58" s="353" t="s">
        <v>92</v>
      </c>
      <c r="C58" s="221" t="s">
        <v>8</v>
      </c>
      <c r="D58" s="394">
        <v>1.2000000000000004E-2</v>
      </c>
    </row>
    <row r="59" spans="1:6" s="210" customFormat="1" ht="12">
      <c r="B59" s="353" t="s">
        <v>141</v>
      </c>
      <c r="C59" s="221" t="s">
        <v>8</v>
      </c>
      <c r="D59" s="394">
        <v>0.49200000000000005</v>
      </c>
    </row>
    <row r="60" spans="1:6" s="210" customFormat="1" ht="12">
      <c r="B60" s="353" t="s">
        <v>93</v>
      </c>
      <c r="C60" s="221" t="s">
        <v>8</v>
      </c>
      <c r="D60" s="394">
        <v>0.19200000000000006</v>
      </c>
    </row>
    <row r="61" spans="1:6" s="210" customFormat="1" ht="12">
      <c r="B61" s="353" t="s">
        <v>97</v>
      </c>
      <c r="C61" s="221" t="s">
        <v>8</v>
      </c>
      <c r="D61" s="394">
        <v>0.13200000000000003</v>
      </c>
    </row>
    <row r="62" spans="1:6" s="210" customFormat="1" ht="12"/>
    <row r="63" spans="1:6" s="210" customFormat="1" ht="12">
      <c r="A63" s="227"/>
      <c r="B63" s="353" t="s">
        <v>337</v>
      </c>
      <c r="C63" s="221" t="s">
        <v>131</v>
      </c>
      <c r="D63" s="394">
        <v>42.695612358974358</v>
      </c>
    </row>
    <row r="64" spans="1:6" s="210" customFormat="1" ht="8.1" customHeight="1">
      <c r="A64" s="227"/>
      <c r="B64" s="353"/>
      <c r="C64" s="221"/>
      <c r="D64" s="384"/>
    </row>
    <row r="65" spans="1:6" s="210" customFormat="1" ht="12">
      <c r="A65" s="227"/>
      <c r="B65" s="211" t="s">
        <v>442</v>
      </c>
      <c r="C65" s="221" t="s">
        <v>131</v>
      </c>
      <c r="D65" s="384">
        <f>D56+D63</f>
        <v>995.83606158974374</v>
      </c>
    </row>
    <row r="66" spans="1:6" s="210" customFormat="1" ht="12">
      <c r="A66" s="227"/>
      <c r="B66" s="211" t="s">
        <v>452</v>
      </c>
      <c r="C66" s="221" t="s">
        <v>8</v>
      </c>
      <c r="D66" s="387">
        <f>D67*1000</f>
        <v>1.3280000000000003</v>
      </c>
    </row>
    <row r="67" spans="1:6" s="210" customFormat="1" ht="12">
      <c r="A67" s="227"/>
      <c r="B67" s="211" t="s">
        <v>452</v>
      </c>
      <c r="C67" s="221" t="s">
        <v>447</v>
      </c>
      <c r="D67" s="389">
        <f>SUM(D57:D62)/1000</f>
        <v>1.3280000000000002E-3</v>
      </c>
    </row>
    <row r="68" spans="1:6" s="210" customFormat="1" ht="12">
      <c r="A68" s="227"/>
      <c r="B68" s="353"/>
      <c r="C68" s="221"/>
      <c r="D68" s="390"/>
    </row>
    <row r="69" spans="1:6" s="210" customFormat="1" ht="12">
      <c r="A69" s="227"/>
      <c r="C69" s="221"/>
      <c r="D69" s="227"/>
    </row>
    <row r="70" spans="1:6" s="210" customFormat="1" ht="12">
      <c r="B70" s="364" t="s">
        <v>341</v>
      </c>
      <c r="C70" s="221"/>
    </row>
    <row r="71" spans="1:6" s="210" customFormat="1" ht="12">
      <c r="B71" s="353" t="s">
        <v>334</v>
      </c>
      <c r="C71" s="221" t="s">
        <v>131</v>
      </c>
      <c r="D71" s="396">
        <v>58.023333333333326</v>
      </c>
    </row>
    <row r="72" spans="1:6" s="210" customFormat="1" ht="12">
      <c r="B72" s="353" t="s">
        <v>335</v>
      </c>
      <c r="C72" s="221" t="s">
        <v>8</v>
      </c>
      <c r="D72" s="397">
        <v>0.2</v>
      </c>
    </row>
    <row r="73" spans="1:6" s="210" customFormat="1" ht="12">
      <c r="B73" s="353" t="s">
        <v>337</v>
      </c>
      <c r="C73" s="221" t="s">
        <v>131</v>
      </c>
      <c r="D73" s="394">
        <v>1.1611759259259258</v>
      </c>
    </row>
    <row r="74" spans="1:6" s="210" customFormat="1" ht="12">
      <c r="B74" s="353"/>
      <c r="C74" s="221"/>
      <c r="D74" s="384"/>
    </row>
    <row r="75" spans="1:6" s="210" customFormat="1" ht="12">
      <c r="B75" s="211" t="s">
        <v>443</v>
      </c>
      <c r="C75" s="221" t="s">
        <v>131</v>
      </c>
      <c r="D75" s="390">
        <f>D71+D73</f>
        <v>59.184509259259251</v>
      </c>
    </row>
    <row r="76" spans="1:6" s="210" customFormat="1" ht="12">
      <c r="B76" s="211" t="s">
        <v>444</v>
      </c>
      <c r="C76" s="221" t="s">
        <v>447</v>
      </c>
      <c r="D76" s="391">
        <f>D72/1000</f>
        <v>2.0000000000000001E-4</v>
      </c>
    </row>
    <row r="77" spans="1:6" s="210" customFormat="1" ht="11.1" customHeight="1">
      <c r="C77" s="221"/>
      <c r="D77" s="227"/>
    </row>
    <row r="78" spans="1:6" s="210" customFormat="1" ht="12">
      <c r="B78" s="364" t="s">
        <v>342</v>
      </c>
      <c r="C78" s="221"/>
    </row>
    <row r="79" spans="1:6" s="210" customFormat="1" ht="12">
      <c r="B79" s="353" t="s">
        <v>334</v>
      </c>
      <c r="C79" s="221" t="s">
        <v>131</v>
      </c>
      <c r="D79" s="396">
        <v>0</v>
      </c>
    </row>
    <row r="80" spans="1:6" s="210" customFormat="1" ht="12">
      <c r="B80" s="353" t="s">
        <v>152</v>
      </c>
      <c r="C80" s="221" t="s">
        <v>348</v>
      </c>
      <c r="D80" s="397">
        <v>1.1200000000000001</v>
      </c>
      <c r="F80" s="392"/>
    </row>
    <row r="81" spans="2:37" s="210" customFormat="1" ht="12">
      <c r="B81" s="211" t="s">
        <v>350</v>
      </c>
      <c r="C81" s="221" t="s">
        <v>351</v>
      </c>
      <c r="D81" s="397">
        <v>13</v>
      </c>
      <c r="F81" s="392"/>
    </row>
    <row r="82" spans="2:37" s="210" customFormat="1" ht="12">
      <c r="B82" s="211" t="s">
        <v>347</v>
      </c>
      <c r="C82" s="221" t="s">
        <v>349</v>
      </c>
      <c r="D82" s="397">
        <v>9.6</v>
      </c>
      <c r="F82" s="213"/>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row>
    <row r="83" spans="2:37" s="210" customFormat="1" ht="12">
      <c r="B83" s="353" t="s">
        <v>337</v>
      </c>
      <c r="C83" s="221" t="s">
        <v>131</v>
      </c>
      <c r="D83" s="396">
        <v>0</v>
      </c>
      <c r="E83" s="211"/>
    </row>
    <row r="84" spans="2:37" s="210" customFormat="1" ht="12">
      <c r="B84" s="353"/>
      <c r="C84" s="221"/>
      <c r="D84" s="390"/>
      <c r="E84" s="211"/>
    </row>
    <row r="85" spans="2:37" s="210" customFormat="1" ht="12">
      <c r="B85" s="353" t="s">
        <v>445</v>
      </c>
      <c r="C85" s="221" t="s">
        <v>131</v>
      </c>
      <c r="D85" s="390">
        <f>D79+D83</f>
        <v>0</v>
      </c>
      <c r="E85" s="211"/>
    </row>
    <row r="86" spans="2:37" s="210" customFormat="1" ht="12">
      <c r="B86" s="353"/>
      <c r="C86" s="221"/>
      <c r="D86" s="390"/>
      <c r="E86" s="211"/>
    </row>
    <row r="87" spans="2:37" s="210" customFormat="1" ht="12">
      <c r="B87" s="353" t="s">
        <v>446</v>
      </c>
      <c r="C87" s="221"/>
      <c r="D87" s="390"/>
      <c r="E87" s="211"/>
    </row>
    <row r="88" spans="2:37" s="210" customFormat="1" ht="12">
      <c r="B88" s="381" t="s">
        <v>321</v>
      </c>
      <c r="C88" s="221" t="s">
        <v>21</v>
      </c>
      <c r="D88" s="390"/>
      <c r="E88" s="211"/>
      <c r="F88" s="393">
        <f>$D$80*$D$82*'Premissas e Cálculos'!E191/1000</f>
        <v>0</v>
      </c>
      <c r="G88" s="393">
        <f>$D$80*$D$82*'Premissas e Cálculos'!F191/1000</f>
        <v>0</v>
      </c>
      <c r="H88" s="393">
        <f>$D$80*$D$82*'Premissas e Cálculos'!G191/1000</f>
        <v>0</v>
      </c>
      <c r="I88" s="393">
        <f>$D$80*$D$82*'Premissas e Cálculos'!H191/1000</f>
        <v>261.66067200000003</v>
      </c>
      <c r="J88" s="393">
        <f>$D$80*$D$82*'Premissas e Cálculos'!I191/1000</f>
        <v>523.32134400000007</v>
      </c>
      <c r="K88" s="393">
        <f>$D$80*$D$82*'Premissas e Cálculos'!J191/1000</f>
        <v>523.32134400000007</v>
      </c>
      <c r="L88" s="393">
        <f>$D$80*$D$82*'Premissas e Cálculos'!K191/1000</f>
        <v>523.32134400000007</v>
      </c>
      <c r="M88" s="393">
        <f>$D$80*$D$82*'Premissas e Cálculos'!L191/1000</f>
        <v>523.32134400000007</v>
      </c>
      <c r="N88" s="393">
        <f>$D$80*$D$82*'Premissas e Cálculos'!M191/1000</f>
        <v>523.32134400000007</v>
      </c>
      <c r="O88" s="393">
        <f>$D$80*$D$82*'Premissas e Cálculos'!N191/1000</f>
        <v>523.32134400000007</v>
      </c>
      <c r="P88" s="393">
        <f>$D$80*$D$82*'Premissas e Cálculos'!O191/1000</f>
        <v>523.32134400000007</v>
      </c>
      <c r="Q88" s="393">
        <f>$D$80*$D$82*'Premissas e Cálculos'!P191/1000</f>
        <v>523.32134400000007</v>
      </c>
      <c r="R88" s="393">
        <f>$D$80*$D$82*'Premissas e Cálculos'!Q191/1000</f>
        <v>523.32134400000007</v>
      </c>
      <c r="S88" s="393">
        <f>$D$80*$D$82*'Premissas e Cálculos'!R191/1000</f>
        <v>523.32134400000007</v>
      </c>
      <c r="T88" s="393">
        <f>$D$80*$D$82*'Premissas e Cálculos'!S191/1000</f>
        <v>523.32134400000007</v>
      </c>
      <c r="U88" s="393">
        <f>$D$80*$D$82*'Premissas e Cálculos'!T191/1000</f>
        <v>523.32134400000007</v>
      </c>
      <c r="V88" s="393">
        <f>$D$80*$D$82*'Premissas e Cálculos'!U191/1000</f>
        <v>523.32134400000007</v>
      </c>
      <c r="W88" s="393">
        <f>$D$80*$D$82*'Premissas e Cálculos'!V191/1000</f>
        <v>523.32134400000007</v>
      </c>
      <c r="X88" s="393">
        <f>$D$80*$D$82*'Premissas e Cálculos'!W191/1000</f>
        <v>523.32134400000007</v>
      </c>
      <c r="Y88" s="393">
        <f>$D$80*$D$82*'Premissas e Cálculos'!X191/1000</f>
        <v>523.32134400000007</v>
      </c>
      <c r="Z88" s="393">
        <f>$D$80*$D$82*'Premissas e Cálculos'!Y191/1000</f>
        <v>523.32134400000007</v>
      </c>
      <c r="AA88" s="393">
        <f>$D$80*$D$82*'Premissas e Cálculos'!Z191/1000</f>
        <v>523.32134400000007</v>
      </c>
      <c r="AB88" s="393">
        <f>$D$80*$D$82*'Premissas e Cálculos'!AA191/1000</f>
        <v>523.32134400000007</v>
      </c>
      <c r="AC88" s="393">
        <f>$D$80*$D$82*'Premissas e Cálculos'!AB191/1000</f>
        <v>523.32134400000007</v>
      </c>
      <c r="AD88" s="393">
        <f>$D$80*$D$82*'Premissas e Cálculos'!AC191/1000</f>
        <v>523.32134400000007</v>
      </c>
      <c r="AE88" s="393">
        <f>$D$80*$D$82*'Premissas e Cálculos'!AD191/1000</f>
        <v>523.32134400000007</v>
      </c>
      <c r="AF88" s="393">
        <f>$D$80*$D$82*'Premissas e Cálculos'!AE191/1000</f>
        <v>523.32134400000007</v>
      </c>
      <c r="AG88" s="393">
        <f>$D$80*$D$82*'Premissas e Cálculos'!AF191/1000</f>
        <v>523.32134400000007</v>
      </c>
      <c r="AH88" s="393">
        <f>$D$80*$D$82*'Premissas e Cálculos'!AG191/1000</f>
        <v>523.32134400000007</v>
      </c>
      <c r="AI88" s="393">
        <f>$D$80*$D$82*'Premissas e Cálculos'!AH191/1000</f>
        <v>523.32134400000007</v>
      </c>
      <c r="AJ88" s="393">
        <f>$D$80*$D$82*'Premissas e Cálculos'!AI191/1000</f>
        <v>523.32134400000007</v>
      </c>
      <c r="AK88" s="393">
        <f>$D$80*$D$82*'Premissas e Cálculos'!AJ191/1000</f>
        <v>0</v>
      </c>
    </row>
    <row r="89" spans="2:37" s="210" customFormat="1" ht="12">
      <c r="B89" s="381" t="s">
        <v>362</v>
      </c>
      <c r="C89" s="221" t="s">
        <v>21</v>
      </c>
      <c r="D89" s="390"/>
      <c r="E89" s="211"/>
      <c r="F89" s="393">
        <f>$D$80*$D$82*'Premissas e Cálculos'!E192/1000</f>
        <v>0</v>
      </c>
      <c r="G89" s="393">
        <f>$D$80*$D$82*'Premissas e Cálculos'!F192/1000</f>
        <v>0</v>
      </c>
      <c r="H89" s="393">
        <f>$D$80*$D$82*'Premissas e Cálculos'!G192/1000</f>
        <v>0</v>
      </c>
      <c r="I89" s="393">
        <f>$D$80*$D$82*'Premissas e Cálculos'!H192/1000</f>
        <v>0</v>
      </c>
      <c r="J89" s="393">
        <f>$D$80*$D$82*'Premissas e Cálculos'!I192/1000</f>
        <v>0</v>
      </c>
      <c r="K89" s="393">
        <f>$D$80*$D$82*'Premissas e Cálculos'!J192/1000</f>
        <v>0</v>
      </c>
      <c r="L89" s="393">
        <f>$D$80*$D$82*'Premissas e Cálculos'!K192/1000</f>
        <v>0</v>
      </c>
      <c r="M89" s="393">
        <f>$D$80*$D$82*'Premissas e Cálculos'!L192/1000</f>
        <v>0</v>
      </c>
      <c r="N89" s="393">
        <f>$D$80*$D$82*'Premissas e Cálculos'!M192/1000</f>
        <v>0</v>
      </c>
      <c r="O89" s="393">
        <f>$D$80*$D$82*'Premissas e Cálculos'!N192/1000</f>
        <v>0</v>
      </c>
      <c r="P89" s="393">
        <f>$D$80*$D$82*'Premissas e Cálculos'!O192/1000</f>
        <v>0</v>
      </c>
      <c r="Q89" s="393">
        <f>$D$80*$D$82*'Premissas e Cálculos'!P192/1000</f>
        <v>0</v>
      </c>
      <c r="R89" s="393">
        <f>$D$80*$D$82*'Premissas e Cálculos'!Q192/1000</f>
        <v>0</v>
      </c>
      <c r="S89" s="393">
        <f>$D$80*$D$82*'Premissas e Cálculos'!R192/1000</f>
        <v>0</v>
      </c>
      <c r="T89" s="393">
        <f>$D$80*$D$82*'Premissas e Cálculos'!S192/1000</f>
        <v>0</v>
      </c>
      <c r="U89" s="393">
        <f>$D$80*$D$82*'Premissas e Cálculos'!T192/1000</f>
        <v>0</v>
      </c>
      <c r="V89" s="393">
        <f>$D$80*$D$82*'Premissas e Cálculos'!U192/1000</f>
        <v>0</v>
      </c>
      <c r="W89" s="393">
        <f>$D$80*$D$82*'Premissas e Cálculos'!V192/1000</f>
        <v>0</v>
      </c>
      <c r="X89" s="393">
        <f>$D$80*$D$82*'Premissas e Cálculos'!W192/1000</f>
        <v>0</v>
      </c>
      <c r="Y89" s="393">
        <f>$D$80*$D$82*'Premissas e Cálculos'!X192/1000</f>
        <v>0</v>
      </c>
      <c r="Z89" s="393">
        <f>$D$80*$D$82*'Premissas e Cálculos'!Y192/1000</f>
        <v>0</v>
      </c>
      <c r="AA89" s="393">
        <f>$D$80*$D$82*'Premissas e Cálculos'!Z192/1000</f>
        <v>0</v>
      </c>
      <c r="AB89" s="393">
        <f>$D$80*$D$82*'Premissas e Cálculos'!AA192/1000</f>
        <v>0</v>
      </c>
      <c r="AC89" s="393">
        <f>$D$80*$D$82*'Premissas e Cálculos'!AB192/1000</f>
        <v>0</v>
      </c>
      <c r="AD89" s="393">
        <f>$D$80*$D$82*'Premissas e Cálculos'!AC192/1000</f>
        <v>0</v>
      </c>
      <c r="AE89" s="393">
        <f>$D$80*$D$82*'Premissas e Cálculos'!AD192/1000</f>
        <v>0</v>
      </c>
      <c r="AF89" s="393">
        <f>$D$80*$D$82*'Premissas e Cálculos'!AE192/1000</f>
        <v>0</v>
      </c>
      <c r="AG89" s="393">
        <f>$D$80*$D$82*'Premissas e Cálculos'!AF192/1000</f>
        <v>0</v>
      </c>
      <c r="AH89" s="393">
        <f>$D$80*$D$82*'Premissas e Cálculos'!AG192/1000</f>
        <v>0</v>
      </c>
      <c r="AI89" s="393">
        <f>$D$80*$D$82*'Premissas e Cálculos'!AH192/1000</f>
        <v>0</v>
      </c>
      <c r="AJ89" s="393">
        <f>$D$80*$D$82*'Premissas e Cálculos'!AI192/1000</f>
        <v>0</v>
      </c>
      <c r="AK89" s="393">
        <f>$D$80*$D$82*'Premissas e Cálculos'!AJ192/1000</f>
        <v>0</v>
      </c>
    </row>
    <row r="90" spans="2:37" s="210" customFormat="1" ht="12">
      <c r="B90" s="381" t="s">
        <v>363</v>
      </c>
      <c r="C90" s="221" t="s">
        <v>21</v>
      </c>
      <c r="D90" s="390"/>
      <c r="E90" s="211"/>
      <c r="F90" s="393">
        <f>$D$80*$D$82*'Premissas e Cálculos'!E193/1000</f>
        <v>0</v>
      </c>
      <c r="G90" s="393">
        <f>$D$80*$D$82*'Premissas e Cálculos'!F193/1000</f>
        <v>0</v>
      </c>
      <c r="H90" s="393">
        <f>$D$80*$D$82*'Premissas e Cálculos'!G193/1000</f>
        <v>0</v>
      </c>
      <c r="I90" s="393">
        <f>$D$80*$D$82*'Premissas e Cálculos'!H193/1000</f>
        <v>0</v>
      </c>
      <c r="J90" s="393">
        <f>$D$80*$D$82*'Premissas e Cálculos'!I193/1000</f>
        <v>0</v>
      </c>
      <c r="K90" s="393">
        <f>$D$80*$D$82*'Premissas e Cálculos'!J193/1000</f>
        <v>0</v>
      </c>
      <c r="L90" s="393">
        <f>$D$80*$D$82*'Premissas e Cálculos'!K193/1000</f>
        <v>163.53792000000001</v>
      </c>
      <c r="M90" s="393">
        <f>$D$80*$D$82*'Premissas e Cálculos'!L193/1000</f>
        <v>316.17331200000001</v>
      </c>
      <c r="N90" s="393">
        <f>$D$80*$D$82*'Premissas e Cálculos'!M193/1000</f>
        <v>316.17331200000001</v>
      </c>
      <c r="O90" s="393">
        <f>$D$80*$D$82*'Premissas e Cálculos'!N193/1000</f>
        <v>316.17331200000001</v>
      </c>
      <c r="P90" s="393">
        <f>$D$80*$D$82*'Premissas e Cálculos'!O193/1000</f>
        <v>316.17331200000001</v>
      </c>
      <c r="Q90" s="393">
        <f>$D$80*$D$82*'Premissas e Cálculos'!P193/1000</f>
        <v>316.17331200000001</v>
      </c>
      <c r="R90" s="393">
        <f>$D$80*$D$82*'Premissas e Cálculos'!Q193/1000</f>
        <v>316.17331200000001</v>
      </c>
      <c r="S90" s="393">
        <f>$D$80*$D$82*'Premissas e Cálculos'!R193/1000</f>
        <v>316.17331200000001</v>
      </c>
      <c r="T90" s="393">
        <f>$D$80*$D$82*'Premissas e Cálculos'!S193/1000</f>
        <v>316.17331200000001</v>
      </c>
      <c r="U90" s="393">
        <f>$D$80*$D$82*'Premissas e Cálculos'!T193/1000</f>
        <v>316.17331200000001</v>
      </c>
      <c r="V90" s="393">
        <f>$D$80*$D$82*'Premissas e Cálculos'!U193/1000</f>
        <v>316.17331200000001</v>
      </c>
      <c r="W90" s="393">
        <f>$D$80*$D$82*'Premissas e Cálculos'!V193/1000</f>
        <v>316.17331200000001</v>
      </c>
      <c r="X90" s="393">
        <f>$D$80*$D$82*'Premissas e Cálculos'!W193/1000</f>
        <v>316.17331200000001</v>
      </c>
      <c r="Y90" s="393">
        <f>$D$80*$D$82*'Premissas e Cálculos'!X193/1000</f>
        <v>316.17331200000001</v>
      </c>
      <c r="Z90" s="393">
        <f>$D$80*$D$82*'Premissas e Cálculos'!Y193/1000</f>
        <v>316.17331200000001</v>
      </c>
      <c r="AA90" s="393">
        <f>$D$80*$D$82*'Premissas e Cálculos'!Z193/1000</f>
        <v>316.17331200000001</v>
      </c>
      <c r="AB90" s="393">
        <f>$D$80*$D$82*'Premissas e Cálculos'!AA193/1000</f>
        <v>316.17331200000001</v>
      </c>
      <c r="AC90" s="393">
        <f>$D$80*$D$82*'Premissas e Cálculos'!AB193/1000</f>
        <v>316.17331200000001</v>
      </c>
      <c r="AD90" s="393">
        <f>$D$80*$D$82*'Premissas e Cálculos'!AC193/1000</f>
        <v>316.17331200000001</v>
      </c>
      <c r="AE90" s="393">
        <f>$D$80*$D$82*'Premissas e Cálculos'!AD193/1000</f>
        <v>316.17331200000001</v>
      </c>
      <c r="AF90" s="393">
        <f>$D$80*$D$82*'Premissas e Cálculos'!AE193/1000</f>
        <v>316.17331200000001</v>
      </c>
      <c r="AG90" s="393">
        <f>$D$80*$D$82*'Premissas e Cálculos'!AF193/1000</f>
        <v>316.17331200000001</v>
      </c>
      <c r="AH90" s="393">
        <f>$D$80*$D$82*'Premissas e Cálculos'!AG193/1000</f>
        <v>316.17331200000001</v>
      </c>
      <c r="AI90" s="393">
        <f>$D$80*$D$82*'Premissas e Cálculos'!AH193/1000</f>
        <v>316.17331200000001</v>
      </c>
      <c r="AJ90" s="393">
        <f>$D$80*$D$82*'Premissas e Cálculos'!AI193/1000</f>
        <v>316.17331200000001</v>
      </c>
      <c r="AK90" s="393">
        <f>$D$80*$D$82*'Premissas e Cálculos'!AJ193/1000</f>
        <v>0</v>
      </c>
    </row>
    <row r="91" spans="2:37" s="210" customFormat="1" ht="12">
      <c r="B91" s="381" t="s">
        <v>364</v>
      </c>
      <c r="C91" s="221" t="s">
        <v>21</v>
      </c>
      <c r="D91" s="390"/>
      <c r="E91" s="211"/>
      <c r="F91" s="393">
        <f>$D$80*$D$82*'Premissas e Cálculos'!E194/1000</f>
        <v>0</v>
      </c>
      <c r="G91" s="393">
        <f>$D$80*$D$82*'Premissas e Cálculos'!F194/1000</f>
        <v>0</v>
      </c>
      <c r="H91" s="393">
        <f>$D$80*$D$82*'Premissas e Cálculos'!G194/1000</f>
        <v>0</v>
      </c>
      <c r="I91" s="393">
        <f>$D$80*$D$82*'Premissas e Cálculos'!H194/1000</f>
        <v>0</v>
      </c>
      <c r="J91" s="393">
        <f>$D$80*$D$82*'Premissas e Cálculos'!I194/1000</f>
        <v>0</v>
      </c>
      <c r="K91" s="393">
        <f>$D$80*$D$82*'Premissas e Cálculos'!J194/1000</f>
        <v>0</v>
      </c>
      <c r="L91" s="393">
        <f>$D$80*$D$82*'Premissas e Cálculos'!K194/1000</f>
        <v>0</v>
      </c>
      <c r="M91" s="393">
        <f>$D$80*$D$82*'Premissas e Cálculos'!L194/1000</f>
        <v>10.902528</v>
      </c>
      <c r="N91" s="393">
        <f>$D$80*$D$82*'Premissas e Cálculos'!M194/1000</f>
        <v>10.902528</v>
      </c>
      <c r="O91" s="393">
        <f>$D$80*$D$82*'Premissas e Cálculos'!N194/1000</f>
        <v>10.902528</v>
      </c>
      <c r="P91" s="393">
        <f>$D$80*$D$82*'Premissas e Cálculos'!O194/1000</f>
        <v>10.902528</v>
      </c>
      <c r="Q91" s="393">
        <f>$D$80*$D$82*'Premissas e Cálculos'!P194/1000</f>
        <v>10.902528</v>
      </c>
      <c r="R91" s="393">
        <f>$D$80*$D$82*'Premissas e Cálculos'!Q194/1000</f>
        <v>10.902528</v>
      </c>
      <c r="S91" s="393">
        <f>$D$80*$D$82*'Premissas e Cálculos'!R194/1000</f>
        <v>10.902528</v>
      </c>
      <c r="T91" s="393">
        <f>$D$80*$D$82*'Premissas e Cálculos'!S194/1000</f>
        <v>10.902528</v>
      </c>
      <c r="U91" s="393">
        <f>$D$80*$D$82*'Premissas e Cálculos'!T194/1000</f>
        <v>10.902528</v>
      </c>
      <c r="V91" s="393">
        <f>$D$80*$D$82*'Premissas e Cálculos'!U194/1000</f>
        <v>10.902528</v>
      </c>
      <c r="W91" s="393">
        <f>$D$80*$D$82*'Premissas e Cálculos'!V194/1000</f>
        <v>10.902528</v>
      </c>
      <c r="X91" s="393">
        <f>$D$80*$D$82*'Premissas e Cálculos'!W194/1000</f>
        <v>10.902528</v>
      </c>
      <c r="Y91" s="393">
        <f>$D$80*$D$82*'Premissas e Cálculos'!X194/1000</f>
        <v>10.902528</v>
      </c>
      <c r="Z91" s="393">
        <f>$D$80*$D$82*'Premissas e Cálculos'!Y194/1000</f>
        <v>10.902528</v>
      </c>
      <c r="AA91" s="393">
        <f>$D$80*$D$82*'Premissas e Cálculos'!Z194/1000</f>
        <v>10.902528</v>
      </c>
      <c r="AB91" s="393">
        <f>$D$80*$D$82*'Premissas e Cálculos'!AA194/1000</f>
        <v>10.902528</v>
      </c>
      <c r="AC91" s="393">
        <f>$D$80*$D$82*'Premissas e Cálculos'!AB194/1000</f>
        <v>10.902528</v>
      </c>
      <c r="AD91" s="393">
        <f>$D$80*$D$82*'Premissas e Cálculos'!AC194/1000</f>
        <v>10.902528</v>
      </c>
      <c r="AE91" s="393">
        <f>$D$80*$D$82*'Premissas e Cálculos'!AD194/1000</f>
        <v>10.902528</v>
      </c>
      <c r="AF91" s="393">
        <f>$D$80*$D$82*'Premissas e Cálculos'!AE194/1000</f>
        <v>10.902528</v>
      </c>
      <c r="AG91" s="393">
        <f>$D$80*$D$82*'Premissas e Cálculos'!AF194/1000</f>
        <v>10.902528</v>
      </c>
      <c r="AH91" s="393">
        <f>$D$80*$D$82*'Premissas e Cálculos'!AG194/1000</f>
        <v>10.902528</v>
      </c>
      <c r="AI91" s="393">
        <f>$D$80*$D$82*'Premissas e Cálculos'!AH194/1000</f>
        <v>10.902528</v>
      </c>
      <c r="AJ91" s="393">
        <f>$D$80*$D$82*'Premissas e Cálculos'!AI194/1000</f>
        <v>10.902528</v>
      </c>
      <c r="AK91" s="393">
        <f>$D$80*$D$82*'Premissas e Cálculos'!AJ194/1000</f>
        <v>0</v>
      </c>
    </row>
    <row r="92" spans="2:37" s="210" customFormat="1" ht="12">
      <c r="B92" s="381" t="s">
        <v>322</v>
      </c>
      <c r="C92" s="221" t="s">
        <v>21</v>
      </c>
      <c r="D92" s="390"/>
      <c r="E92" s="211"/>
      <c r="F92" s="393">
        <f>$D$80*$D$82*'Premissas e Cálculos'!E195/1000</f>
        <v>0</v>
      </c>
      <c r="G92" s="393">
        <f>$D$80*$D$82*'Premissas e Cálculos'!F195/1000</f>
        <v>0</v>
      </c>
      <c r="H92" s="393">
        <f>$D$80*$D$82*'Premissas e Cálculos'!G195/1000</f>
        <v>0</v>
      </c>
      <c r="I92" s="393">
        <f>$D$80*$D$82*'Premissas e Cálculos'!H195/1000</f>
        <v>0</v>
      </c>
      <c r="J92" s="393">
        <f>$D$80*$D$82*'Premissas e Cálculos'!I195/1000</f>
        <v>0</v>
      </c>
      <c r="K92" s="393">
        <f>$D$80*$D$82*'Premissas e Cálculos'!J195/1000</f>
        <v>0</v>
      </c>
      <c r="L92" s="393">
        <f>$D$80*$D$82*'Premissas e Cálculos'!K195/1000</f>
        <v>0</v>
      </c>
      <c r="M92" s="393">
        <f>$D$80*$D$82*'Premissas e Cálculos'!L195/1000</f>
        <v>0</v>
      </c>
      <c r="N92" s="393">
        <f>$D$80*$D$82*'Premissas e Cálculos'!M195/1000</f>
        <v>54.512640000000005</v>
      </c>
      <c r="O92" s="393">
        <f>$D$80*$D$82*'Premissas e Cálculos'!N195/1000</f>
        <v>98.122752000000006</v>
      </c>
      <c r="P92" s="393">
        <f>$D$80*$D$82*'Premissas e Cálculos'!O195/1000</f>
        <v>98.122752000000006</v>
      </c>
      <c r="Q92" s="393">
        <f>$D$80*$D$82*'Premissas e Cálculos'!P195/1000</f>
        <v>98.122752000000006</v>
      </c>
      <c r="R92" s="393">
        <f>$D$80*$D$82*'Premissas e Cálculos'!Q195/1000</f>
        <v>98.122752000000006</v>
      </c>
      <c r="S92" s="393">
        <f>$D$80*$D$82*'Premissas e Cálculos'!R195/1000</f>
        <v>98.122752000000006</v>
      </c>
      <c r="T92" s="393">
        <f>$D$80*$D$82*'Premissas e Cálculos'!S195/1000</f>
        <v>98.122752000000006</v>
      </c>
      <c r="U92" s="393">
        <f>$D$80*$D$82*'Premissas e Cálculos'!T195/1000</f>
        <v>98.122752000000006</v>
      </c>
      <c r="V92" s="393">
        <f>$D$80*$D$82*'Premissas e Cálculos'!U195/1000</f>
        <v>98.122752000000006</v>
      </c>
      <c r="W92" s="393">
        <f>$D$80*$D$82*'Premissas e Cálculos'!V195/1000</f>
        <v>98.122752000000006</v>
      </c>
      <c r="X92" s="393">
        <f>$D$80*$D$82*'Premissas e Cálculos'!W195/1000</f>
        <v>98.122752000000006</v>
      </c>
      <c r="Y92" s="393">
        <f>$D$80*$D$82*'Premissas e Cálculos'!X195/1000</f>
        <v>98.122752000000006</v>
      </c>
      <c r="Z92" s="393">
        <f>$D$80*$D$82*'Premissas e Cálculos'!Y195/1000</f>
        <v>98.122752000000006</v>
      </c>
      <c r="AA92" s="393">
        <f>$D$80*$D$82*'Premissas e Cálculos'!Z195/1000</f>
        <v>98.122752000000006</v>
      </c>
      <c r="AB92" s="393">
        <f>$D$80*$D$82*'Premissas e Cálculos'!AA195/1000</f>
        <v>98.122752000000006</v>
      </c>
      <c r="AC92" s="393">
        <f>$D$80*$D$82*'Premissas e Cálculos'!AB195/1000</f>
        <v>98.122752000000006</v>
      </c>
      <c r="AD92" s="393">
        <f>$D$80*$D$82*'Premissas e Cálculos'!AC195/1000</f>
        <v>98.122752000000006</v>
      </c>
      <c r="AE92" s="393">
        <f>$D$80*$D$82*'Premissas e Cálculos'!AD195/1000</f>
        <v>98.122752000000006</v>
      </c>
      <c r="AF92" s="393">
        <f>$D$80*$D$82*'Premissas e Cálculos'!AE195/1000</f>
        <v>98.122752000000006</v>
      </c>
      <c r="AG92" s="393">
        <f>$D$80*$D$82*'Premissas e Cálculos'!AF195/1000</f>
        <v>98.122752000000006</v>
      </c>
      <c r="AH92" s="393">
        <f>$D$80*$D$82*'Premissas e Cálculos'!AG195/1000</f>
        <v>98.122752000000006</v>
      </c>
      <c r="AI92" s="393">
        <f>$D$80*$D$82*'Premissas e Cálculos'!AH195/1000</f>
        <v>98.122752000000006</v>
      </c>
      <c r="AJ92" s="393">
        <f>$D$80*$D$82*'Premissas e Cálculos'!AI195/1000</f>
        <v>98.122752000000006</v>
      </c>
      <c r="AK92" s="393">
        <f>$D$80*$D$82*'Premissas e Cálculos'!AJ195/1000</f>
        <v>0</v>
      </c>
    </row>
    <row r="93" spans="2:37" s="210" customFormat="1" ht="12">
      <c r="B93" s="353"/>
      <c r="C93" s="221"/>
      <c r="D93" s="390"/>
      <c r="E93" s="211"/>
    </row>
    <row r="94" spans="2:37" s="210" customFormat="1" ht="12">
      <c r="D94" s="390"/>
      <c r="E94" s="211"/>
    </row>
    <row r="95" spans="2:37" s="210" customFormat="1" ht="12">
      <c r="C95" s="221"/>
      <c r="D95" s="390"/>
      <c r="E95" s="211"/>
    </row>
    <row r="96" spans="2:37" s="210" customFormat="1" ht="12">
      <c r="B96" s="353"/>
      <c r="C96" s="221"/>
      <c r="D96" s="390"/>
      <c r="E96" s="211"/>
    </row>
  </sheetData>
  <sheetProtection algorithmName="SHA-512" hashValue="d4OPQsWo81nBe16x1H38S4C4erS9ZYTu/YHcikKJiHrV94XqFBbnYPdI34zjPrSIu54IJApdB7vvKAd0NTIhdQ==" saltValue="8ByDoEx3tNZ4lj5Wk+iigQ==" spinCount="100000" sheet="1" objects="1" scenarios="1"/>
  <phoneticPr fontId="19" type="noConversion"/>
  <dataValidations count="1">
    <dataValidation type="decimal" operator="greaterThanOrEqual" allowBlank="1" showInputMessage="1" showErrorMessage="1" sqref="D5 D6 D8 D14 D15 D16 D17 D26 F27:F31 D34:D35 D49:D50 D56:D61 D63 D71:D73 D79:D83 D10 D18:D20 D44" xr:uid="{DC058CBD-6F54-40BF-8D6B-288DBC7856BA}">
      <formula1>0</formula1>
    </dataValidation>
  </dataValidations>
  <pageMargins left="0.511811024" right="0.511811024" top="0.78740157499999996" bottom="0.78740157499999996" header="0.31496062000000002" footer="0.31496062000000002"/>
  <ignoredErrors>
    <ignoredError sqref="G37:AJ3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40A7-9576-47BD-8146-C92B8A32F267}">
  <sheetPr>
    <tabColor theme="7" tint="0.79998168889431442"/>
  </sheetPr>
  <dimension ref="A1:I952"/>
  <sheetViews>
    <sheetView zoomScaleNormal="100" workbookViewId="0"/>
  </sheetViews>
  <sheetFormatPr defaultColWidth="12.5703125" defaultRowHeight="12.75"/>
  <cols>
    <col min="1" max="1" width="3.42578125" style="402" customWidth="1"/>
    <col min="2" max="2" width="7.140625" style="402" customWidth="1"/>
    <col min="3" max="3" width="13.85546875" style="412" customWidth="1"/>
    <col min="4" max="4" width="73.140625" style="402" customWidth="1"/>
    <col min="5" max="5" width="20.85546875" style="402" bestFit="1" customWidth="1"/>
    <col min="6" max="6" width="15.85546875" style="402" customWidth="1"/>
    <col min="7" max="7" width="15.140625" style="402" bestFit="1" customWidth="1"/>
    <col min="8" max="8" width="23.140625" style="402" bestFit="1" customWidth="1"/>
    <col min="9" max="9" width="3.5703125" style="402" customWidth="1"/>
    <col min="10" max="16384" width="12.5703125" style="402"/>
  </cols>
  <sheetData>
    <row r="1" spans="1:9" ht="27.6" customHeight="1">
      <c r="A1" s="279"/>
      <c r="B1" s="401"/>
      <c r="C1" s="563" t="s">
        <v>602</v>
      </c>
      <c r="D1" s="563"/>
      <c r="E1" s="563"/>
      <c r="F1" s="563"/>
      <c r="G1" s="563"/>
      <c r="H1" s="563"/>
      <c r="I1" s="282"/>
    </row>
    <row r="2" spans="1:9" s="403" customFormat="1" ht="20.100000000000001" customHeight="1">
      <c r="A2" s="300"/>
      <c r="B2" s="300"/>
      <c r="C2" s="301"/>
      <c r="D2" s="300"/>
      <c r="E2" s="300"/>
      <c r="F2" s="300"/>
      <c r="G2" s="300"/>
      <c r="H2" s="300"/>
      <c r="I2" s="300"/>
    </row>
    <row r="3" spans="1:9" s="403" customFormat="1" ht="28.5">
      <c r="A3" s="404"/>
      <c r="B3" s="405" t="s">
        <v>603</v>
      </c>
      <c r="C3" s="405" t="s">
        <v>604</v>
      </c>
      <c r="D3" s="405" t="s">
        <v>605</v>
      </c>
      <c r="E3" s="405" t="s">
        <v>606</v>
      </c>
      <c r="F3" s="405" t="s">
        <v>607</v>
      </c>
      <c r="G3" s="405" t="s">
        <v>608</v>
      </c>
      <c r="H3" s="405" t="s">
        <v>609</v>
      </c>
      <c r="I3" s="300"/>
    </row>
    <row r="4" spans="1:9" s="403" customFormat="1" ht="14.25">
      <c r="A4" s="300"/>
      <c r="B4" s="324" t="s">
        <v>610</v>
      </c>
      <c r="C4" s="315"/>
      <c r="D4" s="507" t="s">
        <v>667</v>
      </c>
      <c r="E4" s="316"/>
      <c r="F4" s="316"/>
      <c r="G4" s="406" t="str">
        <f>IF(OR(E4="",F4=""),"",IFERROR(LEFT(E4,1) * LEFT(F4,1),"-"))</f>
        <v/>
      </c>
      <c r="H4" s="407" t="str">
        <f>IF(G4="","",IF(G4&lt;=3,"Baixo",IF(G4&lt;=6,"Médio","Alto")))</f>
        <v/>
      </c>
      <c r="I4" s="300"/>
    </row>
    <row r="5" spans="1:9" s="403" customFormat="1" ht="14.25">
      <c r="A5" s="300"/>
      <c r="B5" s="324" t="s">
        <v>611</v>
      </c>
      <c r="C5" s="315"/>
      <c r="D5" s="507"/>
      <c r="E5" s="316"/>
      <c r="F5" s="316"/>
      <c r="G5" s="406" t="str">
        <f t="shared" ref="G5:G13" si="0">IF(OR(E5="",F5=""),"",IFERROR(LEFT(E5,1) * LEFT(F5,1),"-"))</f>
        <v/>
      </c>
      <c r="H5" s="407" t="str">
        <f t="shared" ref="H5:H13" si="1">IF(G5="","",IF(G5&lt;=3,"Baixo",IF(G5&lt;=6,"Médio","Alto")))</f>
        <v/>
      </c>
      <c r="I5" s="300"/>
    </row>
    <row r="6" spans="1:9" s="403" customFormat="1" ht="14.25">
      <c r="A6" s="300"/>
      <c r="B6" s="324" t="s">
        <v>612</v>
      </c>
      <c r="C6" s="315"/>
      <c r="D6" s="507"/>
      <c r="E6" s="316"/>
      <c r="F6" s="316"/>
      <c r="G6" s="406" t="str">
        <f t="shared" si="0"/>
        <v/>
      </c>
      <c r="H6" s="407" t="str">
        <f t="shared" si="1"/>
        <v/>
      </c>
      <c r="I6" s="300"/>
    </row>
    <row r="7" spans="1:9" s="403" customFormat="1" ht="14.25">
      <c r="A7" s="300"/>
      <c r="B7" s="324" t="s">
        <v>613</v>
      </c>
      <c r="C7" s="315"/>
      <c r="D7" s="507"/>
      <c r="E7" s="316"/>
      <c r="F7" s="316"/>
      <c r="G7" s="406" t="str">
        <f t="shared" si="0"/>
        <v/>
      </c>
      <c r="H7" s="407" t="str">
        <f t="shared" si="1"/>
        <v/>
      </c>
      <c r="I7" s="300"/>
    </row>
    <row r="8" spans="1:9" s="403" customFormat="1" ht="14.25">
      <c r="A8" s="300"/>
      <c r="B8" s="324" t="s">
        <v>614</v>
      </c>
      <c r="C8" s="315"/>
      <c r="D8" s="507"/>
      <c r="E8" s="316"/>
      <c r="F8" s="316"/>
      <c r="G8" s="406" t="str">
        <f t="shared" si="0"/>
        <v/>
      </c>
      <c r="H8" s="407" t="str">
        <f t="shared" si="1"/>
        <v/>
      </c>
      <c r="I8" s="300"/>
    </row>
    <row r="9" spans="1:9" s="403" customFormat="1" ht="14.25">
      <c r="A9" s="300"/>
      <c r="B9" s="324" t="s">
        <v>615</v>
      </c>
      <c r="C9" s="315"/>
      <c r="D9" s="507"/>
      <c r="E9" s="316"/>
      <c r="F9" s="316"/>
      <c r="G9" s="406" t="str">
        <f t="shared" si="0"/>
        <v/>
      </c>
      <c r="H9" s="407" t="str">
        <f t="shared" si="1"/>
        <v/>
      </c>
      <c r="I9" s="300"/>
    </row>
    <row r="10" spans="1:9" s="403" customFormat="1" ht="14.25">
      <c r="A10" s="300"/>
      <c r="B10" s="324" t="s">
        <v>616</v>
      </c>
      <c r="C10" s="315"/>
      <c r="D10" s="507"/>
      <c r="E10" s="316"/>
      <c r="F10" s="316"/>
      <c r="G10" s="406" t="str">
        <f t="shared" si="0"/>
        <v/>
      </c>
      <c r="H10" s="407" t="str">
        <f t="shared" si="1"/>
        <v/>
      </c>
      <c r="I10" s="300"/>
    </row>
    <row r="11" spans="1:9" s="403" customFormat="1" ht="14.25">
      <c r="A11" s="300"/>
      <c r="B11" s="324" t="s">
        <v>617</v>
      </c>
      <c r="C11" s="315"/>
      <c r="D11" s="507"/>
      <c r="E11" s="316"/>
      <c r="F11" s="316"/>
      <c r="G11" s="406" t="str">
        <f t="shared" si="0"/>
        <v/>
      </c>
      <c r="H11" s="407" t="str">
        <f t="shared" si="1"/>
        <v/>
      </c>
      <c r="I11" s="300"/>
    </row>
    <row r="12" spans="1:9" s="403" customFormat="1" ht="14.25">
      <c r="A12" s="300"/>
      <c r="B12" s="324" t="s">
        <v>618</v>
      </c>
      <c r="C12" s="315"/>
      <c r="D12" s="507"/>
      <c r="E12" s="316"/>
      <c r="F12" s="316"/>
      <c r="G12" s="406" t="str">
        <f t="shared" si="0"/>
        <v/>
      </c>
      <c r="H12" s="407" t="str">
        <f t="shared" si="1"/>
        <v/>
      </c>
      <c r="I12" s="300"/>
    </row>
    <row r="13" spans="1:9" s="403" customFormat="1" ht="14.25">
      <c r="A13" s="300"/>
      <c r="B13" s="324" t="s">
        <v>619</v>
      </c>
      <c r="C13" s="315"/>
      <c r="D13" s="507"/>
      <c r="E13" s="316"/>
      <c r="F13" s="316"/>
      <c r="G13" s="406" t="str">
        <f t="shared" si="0"/>
        <v/>
      </c>
      <c r="H13" s="407" t="str">
        <f t="shared" si="1"/>
        <v/>
      </c>
      <c r="I13" s="300"/>
    </row>
    <row r="14" spans="1:9" s="409" customFormat="1" ht="14.25">
      <c r="A14" s="408"/>
      <c r="B14" s="408"/>
      <c r="C14" s="408"/>
      <c r="D14" s="408"/>
      <c r="E14" s="408"/>
      <c r="F14" s="408"/>
      <c r="G14" s="408"/>
      <c r="H14" s="408"/>
      <c r="I14" s="408"/>
    </row>
    <row r="15" spans="1:9" s="409" customFormat="1" ht="17.100000000000001" customHeight="1">
      <c r="A15" s="408"/>
      <c r="B15" s="564" t="s">
        <v>680</v>
      </c>
      <c r="C15" s="564"/>
      <c r="D15" s="564"/>
      <c r="E15" s="564"/>
      <c r="F15" s="564"/>
      <c r="G15" s="564"/>
      <c r="H15" s="564"/>
      <c r="I15" s="408"/>
    </row>
    <row r="16" spans="1:9" s="409" customFormat="1" ht="17.100000000000001" customHeight="1">
      <c r="A16" s="408"/>
      <c r="B16" s="564"/>
      <c r="C16" s="564"/>
      <c r="D16" s="564"/>
      <c r="E16" s="564"/>
      <c r="F16" s="564"/>
      <c r="G16" s="564"/>
      <c r="H16" s="564"/>
      <c r="I16" s="408"/>
    </row>
    <row r="17" spans="1:9" s="403" customFormat="1" ht="17.100000000000001" customHeight="1">
      <c r="A17" s="300"/>
      <c r="B17" s="564"/>
      <c r="C17" s="564"/>
      <c r="D17" s="564"/>
      <c r="E17" s="564"/>
      <c r="F17" s="564"/>
      <c r="G17" s="564"/>
      <c r="H17" s="564"/>
      <c r="I17" s="300"/>
    </row>
    <row r="18" spans="1:9" s="403" customFormat="1" ht="17.100000000000001" customHeight="1">
      <c r="A18" s="300"/>
      <c r="B18" s="564"/>
      <c r="C18" s="564"/>
      <c r="D18" s="564"/>
      <c r="E18" s="564"/>
      <c r="F18" s="564"/>
      <c r="G18" s="564"/>
      <c r="H18" s="564"/>
      <c r="I18" s="300"/>
    </row>
    <row r="19" spans="1:9" s="403" customFormat="1" ht="17.100000000000001" customHeight="1">
      <c r="A19" s="300"/>
      <c r="B19" s="564"/>
      <c r="C19" s="564"/>
      <c r="D19" s="564"/>
      <c r="E19" s="564"/>
      <c r="F19" s="564"/>
      <c r="G19" s="564"/>
      <c r="H19" s="564"/>
      <c r="I19" s="300"/>
    </row>
    <row r="20" spans="1:9" s="403" customFormat="1" ht="17.100000000000001" customHeight="1">
      <c r="A20" s="300"/>
      <c r="B20" s="564"/>
      <c r="C20" s="564"/>
      <c r="D20" s="564"/>
      <c r="E20" s="564"/>
      <c r="F20" s="564"/>
      <c r="G20" s="564"/>
      <c r="H20" s="564"/>
      <c r="I20" s="300"/>
    </row>
    <row r="21" spans="1:9" s="403" customFormat="1" ht="17.100000000000001" customHeight="1">
      <c r="A21" s="300"/>
      <c r="B21" s="564"/>
      <c r="C21" s="564"/>
      <c r="D21" s="564"/>
      <c r="E21" s="564"/>
      <c r="F21" s="564"/>
      <c r="G21" s="564"/>
      <c r="H21" s="564"/>
      <c r="I21" s="300"/>
    </row>
    <row r="22" spans="1:9" s="403" customFormat="1" ht="17.100000000000001" customHeight="1">
      <c r="A22" s="300"/>
      <c r="B22" s="564"/>
      <c r="C22" s="564"/>
      <c r="D22" s="564"/>
      <c r="E22" s="564"/>
      <c r="F22" s="564"/>
      <c r="G22" s="564"/>
      <c r="H22" s="564"/>
      <c r="I22" s="300"/>
    </row>
    <row r="23" spans="1:9" s="403" customFormat="1" ht="17.100000000000001" customHeight="1">
      <c r="A23" s="300"/>
      <c r="B23" s="564"/>
      <c r="C23" s="564"/>
      <c r="D23" s="564"/>
      <c r="E23" s="564"/>
      <c r="F23" s="564"/>
      <c r="G23" s="564"/>
      <c r="H23" s="564"/>
      <c r="I23" s="300"/>
    </row>
    <row r="24" spans="1:9" s="403" customFormat="1" ht="17.100000000000001" customHeight="1">
      <c r="A24" s="300"/>
      <c r="B24" s="564"/>
      <c r="C24" s="564"/>
      <c r="D24" s="564"/>
      <c r="E24" s="564"/>
      <c r="F24" s="564"/>
      <c r="G24" s="564"/>
      <c r="H24" s="564"/>
      <c r="I24" s="300"/>
    </row>
    <row r="25" spans="1:9" s="403" customFormat="1" ht="17.100000000000001" customHeight="1">
      <c r="A25" s="300"/>
      <c r="B25" s="564"/>
      <c r="C25" s="564"/>
      <c r="D25" s="564"/>
      <c r="E25" s="564"/>
      <c r="F25" s="564"/>
      <c r="G25" s="564"/>
      <c r="H25" s="564"/>
      <c r="I25" s="300"/>
    </row>
    <row r="26" spans="1:9" s="403" customFormat="1" ht="17.100000000000001" customHeight="1">
      <c r="A26" s="300"/>
      <c r="B26" s="564"/>
      <c r="C26" s="564"/>
      <c r="D26" s="564"/>
      <c r="E26" s="564"/>
      <c r="F26" s="564"/>
      <c r="G26" s="564"/>
      <c r="H26" s="564"/>
      <c r="I26" s="300"/>
    </row>
    <row r="27" spans="1:9" s="403" customFormat="1" ht="14.25">
      <c r="A27" s="300"/>
      <c r="B27" s="410"/>
      <c r="C27" s="312"/>
      <c r="D27" s="300"/>
      <c r="E27" s="300"/>
      <c r="F27" s="300"/>
      <c r="G27" s="300"/>
      <c r="H27" s="300"/>
      <c r="I27" s="300"/>
    </row>
    <row r="28" spans="1:9" ht="14.25">
      <c r="B28" s="411"/>
      <c r="D28" s="413"/>
    </row>
    <row r="29" spans="1:9" ht="14.25">
      <c r="B29" s="411"/>
      <c r="D29" s="413"/>
    </row>
    <row r="30" spans="1:9" ht="14.25">
      <c r="B30" s="411"/>
      <c r="D30" s="413"/>
    </row>
    <row r="31" spans="1:9" ht="14.25">
      <c r="B31" s="411"/>
      <c r="D31" s="413"/>
    </row>
    <row r="32" spans="1:9">
      <c r="B32" s="414"/>
      <c r="D32" s="413"/>
    </row>
    <row r="33" spans="2:4">
      <c r="B33" s="414"/>
      <c r="D33" s="413"/>
    </row>
    <row r="34" spans="2:4">
      <c r="B34" s="414"/>
      <c r="D34" s="413"/>
    </row>
    <row r="35" spans="2:4">
      <c r="B35" s="414"/>
      <c r="D35" s="413"/>
    </row>
    <row r="36" spans="2:4">
      <c r="B36" s="414"/>
      <c r="D36" s="413"/>
    </row>
    <row r="37" spans="2:4">
      <c r="B37" s="414"/>
      <c r="D37" s="413"/>
    </row>
    <row r="38" spans="2:4">
      <c r="B38" s="414"/>
      <c r="D38" s="413"/>
    </row>
    <row r="39" spans="2:4">
      <c r="B39" s="414"/>
      <c r="D39" s="413"/>
    </row>
    <row r="40" spans="2:4">
      <c r="B40" s="414"/>
      <c r="D40" s="413"/>
    </row>
    <row r="41" spans="2:4">
      <c r="B41" s="414"/>
      <c r="D41" s="413"/>
    </row>
    <row r="42" spans="2:4">
      <c r="B42" s="414"/>
      <c r="D42" s="413"/>
    </row>
    <row r="43" spans="2:4">
      <c r="B43" s="414"/>
      <c r="D43" s="413"/>
    </row>
    <row r="44" spans="2:4">
      <c r="B44" s="414"/>
      <c r="D44" s="413"/>
    </row>
    <row r="45" spans="2:4">
      <c r="B45" s="414"/>
      <c r="D45" s="413"/>
    </row>
    <row r="46" spans="2:4">
      <c r="B46" s="414"/>
      <c r="D46" s="413"/>
    </row>
    <row r="47" spans="2:4">
      <c r="B47" s="414"/>
      <c r="D47" s="413"/>
    </row>
    <row r="48" spans="2:4">
      <c r="B48" s="414"/>
      <c r="D48" s="413"/>
    </row>
    <row r="49" spans="2:4">
      <c r="B49" s="414"/>
      <c r="D49" s="413"/>
    </row>
    <row r="50" spans="2:4">
      <c r="B50" s="414"/>
      <c r="D50" s="413"/>
    </row>
    <row r="51" spans="2:4">
      <c r="B51" s="414"/>
      <c r="D51" s="413"/>
    </row>
    <row r="52" spans="2:4">
      <c r="B52" s="414"/>
      <c r="D52" s="413"/>
    </row>
    <row r="53" spans="2:4">
      <c r="B53" s="414"/>
      <c r="D53" s="413"/>
    </row>
    <row r="54" spans="2:4">
      <c r="B54" s="414"/>
      <c r="D54" s="413"/>
    </row>
    <row r="55" spans="2:4">
      <c r="B55" s="414"/>
      <c r="D55" s="413"/>
    </row>
    <row r="56" spans="2:4">
      <c r="B56" s="414"/>
      <c r="D56" s="413"/>
    </row>
    <row r="57" spans="2:4">
      <c r="B57" s="414"/>
      <c r="D57" s="413"/>
    </row>
    <row r="58" spans="2:4">
      <c r="B58" s="414"/>
      <c r="D58" s="413"/>
    </row>
    <row r="59" spans="2:4">
      <c r="B59" s="414"/>
      <c r="D59" s="413"/>
    </row>
    <row r="60" spans="2:4">
      <c r="B60" s="414"/>
      <c r="D60" s="413"/>
    </row>
    <row r="61" spans="2:4">
      <c r="B61" s="414"/>
      <c r="D61" s="413"/>
    </row>
    <row r="62" spans="2:4">
      <c r="B62" s="414"/>
      <c r="D62" s="413"/>
    </row>
    <row r="63" spans="2:4">
      <c r="B63" s="414"/>
      <c r="D63" s="413"/>
    </row>
    <row r="64" spans="2:4">
      <c r="B64" s="414"/>
      <c r="D64" s="413"/>
    </row>
    <row r="65" spans="2:4">
      <c r="B65" s="414"/>
      <c r="D65" s="413"/>
    </row>
    <row r="66" spans="2:4">
      <c r="B66" s="414"/>
      <c r="D66" s="413"/>
    </row>
    <row r="67" spans="2:4">
      <c r="B67" s="414"/>
      <c r="D67" s="413"/>
    </row>
    <row r="68" spans="2:4">
      <c r="B68" s="414"/>
      <c r="D68" s="413"/>
    </row>
    <row r="69" spans="2:4">
      <c r="B69" s="414"/>
      <c r="D69" s="413"/>
    </row>
    <row r="70" spans="2:4">
      <c r="B70" s="414"/>
      <c r="D70" s="413"/>
    </row>
    <row r="71" spans="2:4">
      <c r="B71" s="414"/>
      <c r="D71" s="413"/>
    </row>
    <row r="72" spans="2:4">
      <c r="B72" s="414"/>
      <c r="D72" s="413"/>
    </row>
    <row r="73" spans="2:4">
      <c r="B73" s="414"/>
      <c r="D73" s="413"/>
    </row>
    <row r="74" spans="2:4">
      <c r="B74" s="414"/>
      <c r="D74" s="413"/>
    </row>
    <row r="75" spans="2:4">
      <c r="B75" s="414"/>
      <c r="D75" s="413"/>
    </row>
    <row r="76" spans="2:4">
      <c r="B76" s="414"/>
      <c r="D76" s="413"/>
    </row>
    <row r="77" spans="2:4">
      <c r="B77" s="414"/>
      <c r="D77" s="413"/>
    </row>
    <row r="78" spans="2:4">
      <c r="B78" s="414"/>
      <c r="D78" s="413"/>
    </row>
    <row r="79" spans="2:4">
      <c r="B79" s="414"/>
      <c r="D79" s="413"/>
    </row>
    <row r="80" spans="2:4">
      <c r="B80" s="414"/>
      <c r="D80" s="413"/>
    </row>
    <row r="81" spans="2:4">
      <c r="B81" s="414"/>
      <c r="D81" s="413"/>
    </row>
    <row r="82" spans="2:4">
      <c r="B82" s="414"/>
      <c r="D82" s="413"/>
    </row>
    <row r="83" spans="2:4">
      <c r="B83" s="414"/>
      <c r="D83" s="413"/>
    </row>
    <row r="84" spans="2:4">
      <c r="B84" s="414"/>
      <c r="D84" s="413"/>
    </row>
    <row r="85" spans="2:4">
      <c r="B85" s="414"/>
      <c r="D85" s="413"/>
    </row>
    <row r="86" spans="2:4">
      <c r="B86" s="414"/>
      <c r="D86" s="413"/>
    </row>
    <row r="87" spans="2:4">
      <c r="B87" s="414"/>
      <c r="D87" s="413"/>
    </row>
    <row r="88" spans="2:4">
      <c r="B88" s="414"/>
      <c r="D88" s="413"/>
    </row>
    <row r="89" spans="2:4">
      <c r="B89" s="414"/>
      <c r="D89" s="413"/>
    </row>
    <row r="90" spans="2:4">
      <c r="B90" s="414"/>
      <c r="D90" s="413"/>
    </row>
    <row r="91" spans="2:4">
      <c r="B91" s="414"/>
      <c r="D91" s="413"/>
    </row>
    <row r="92" spans="2:4">
      <c r="B92" s="414"/>
      <c r="D92" s="413"/>
    </row>
    <row r="93" spans="2:4">
      <c r="B93" s="414"/>
      <c r="D93" s="413"/>
    </row>
    <row r="94" spans="2:4">
      <c r="B94" s="414"/>
      <c r="D94" s="413"/>
    </row>
    <row r="95" spans="2:4">
      <c r="B95" s="414"/>
      <c r="D95" s="413"/>
    </row>
    <row r="96" spans="2:4">
      <c r="B96" s="414"/>
      <c r="D96" s="413"/>
    </row>
    <row r="97" spans="2:4">
      <c r="B97" s="414"/>
      <c r="D97" s="413"/>
    </row>
    <row r="98" spans="2:4">
      <c r="B98" s="414"/>
      <c r="D98" s="413"/>
    </row>
    <row r="99" spans="2:4">
      <c r="B99" s="414"/>
      <c r="D99" s="413"/>
    </row>
    <row r="100" spans="2:4">
      <c r="B100" s="414"/>
      <c r="D100" s="413"/>
    </row>
    <row r="101" spans="2:4">
      <c r="B101" s="414"/>
      <c r="D101" s="413"/>
    </row>
    <row r="102" spans="2:4">
      <c r="B102" s="414"/>
      <c r="D102" s="413"/>
    </row>
    <row r="103" spans="2:4">
      <c r="B103" s="414"/>
      <c r="D103" s="413"/>
    </row>
    <row r="104" spans="2:4">
      <c r="B104" s="414"/>
      <c r="D104" s="413"/>
    </row>
    <row r="105" spans="2:4">
      <c r="B105" s="414"/>
      <c r="D105" s="413"/>
    </row>
    <row r="106" spans="2:4">
      <c r="B106" s="414"/>
      <c r="D106" s="413"/>
    </row>
    <row r="107" spans="2:4">
      <c r="B107" s="414"/>
      <c r="D107" s="413"/>
    </row>
    <row r="108" spans="2:4">
      <c r="B108" s="414"/>
      <c r="D108" s="413"/>
    </row>
    <row r="109" spans="2:4">
      <c r="B109" s="414"/>
      <c r="D109" s="413"/>
    </row>
    <row r="110" spans="2:4">
      <c r="B110" s="414"/>
      <c r="D110" s="413"/>
    </row>
    <row r="111" spans="2:4">
      <c r="B111" s="414"/>
      <c r="D111" s="413"/>
    </row>
    <row r="112" spans="2:4">
      <c r="B112" s="414"/>
      <c r="D112" s="413"/>
    </row>
    <row r="113" spans="2:4">
      <c r="B113" s="414"/>
      <c r="D113" s="413"/>
    </row>
    <row r="114" spans="2:4">
      <c r="B114" s="414"/>
      <c r="D114" s="413"/>
    </row>
    <row r="115" spans="2:4">
      <c r="B115" s="414"/>
      <c r="D115" s="413"/>
    </row>
    <row r="116" spans="2:4">
      <c r="B116" s="414"/>
      <c r="D116" s="413"/>
    </row>
    <row r="117" spans="2:4">
      <c r="B117" s="414"/>
      <c r="D117" s="413"/>
    </row>
    <row r="118" spans="2:4">
      <c r="B118" s="414"/>
      <c r="D118" s="413"/>
    </row>
    <row r="119" spans="2:4">
      <c r="B119" s="414"/>
      <c r="D119" s="413"/>
    </row>
    <row r="120" spans="2:4">
      <c r="B120" s="414"/>
      <c r="D120" s="413"/>
    </row>
    <row r="121" spans="2:4">
      <c r="B121" s="414"/>
      <c r="D121" s="413"/>
    </row>
    <row r="122" spans="2:4">
      <c r="B122" s="414"/>
      <c r="D122" s="413"/>
    </row>
    <row r="123" spans="2:4">
      <c r="B123" s="414"/>
      <c r="D123" s="413"/>
    </row>
    <row r="124" spans="2:4">
      <c r="B124" s="414"/>
      <c r="D124" s="413"/>
    </row>
    <row r="125" spans="2:4">
      <c r="B125" s="414"/>
      <c r="D125" s="413"/>
    </row>
    <row r="126" spans="2:4">
      <c r="B126" s="414"/>
      <c r="D126" s="413"/>
    </row>
    <row r="127" spans="2:4">
      <c r="B127" s="414"/>
      <c r="D127" s="413"/>
    </row>
    <row r="128" spans="2:4">
      <c r="B128" s="414"/>
      <c r="D128" s="413"/>
    </row>
    <row r="129" spans="2:4">
      <c r="B129" s="414"/>
      <c r="D129" s="413"/>
    </row>
    <row r="130" spans="2:4">
      <c r="B130" s="414"/>
      <c r="D130" s="413"/>
    </row>
    <row r="131" spans="2:4">
      <c r="B131" s="414"/>
      <c r="D131" s="413"/>
    </row>
    <row r="132" spans="2:4">
      <c r="B132" s="414"/>
      <c r="D132" s="413"/>
    </row>
    <row r="133" spans="2:4">
      <c r="B133" s="414"/>
      <c r="D133" s="413"/>
    </row>
    <row r="134" spans="2:4">
      <c r="B134" s="414"/>
      <c r="D134" s="413"/>
    </row>
    <row r="135" spans="2:4">
      <c r="B135" s="414"/>
      <c r="D135" s="413"/>
    </row>
    <row r="136" spans="2:4">
      <c r="B136" s="414"/>
      <c r="D136" s="413"/>
    </row>
    <row r="137" spans="2:4">
      <c r="B137" s="414"/>
      <c r="D137" s="413"/>
    </row>
    <row r="138" spans="2:4">
      <c r="B138" s="414"/>
      <c r="D138" s="413"/>
    </row>
    <row r="139" spans="2:4">
      <c r="B139" s="414"/>
      <c r="D139" s="413"/>
    </row>
    <row r="140" spans="2:4">
      <c r="B140" s="414"/>
      <c r="D140" s="413"/>
    </row>
    <row r="141" spans="2:4">
      <c r="B141" s="414"/>
      <c r="D141" s="413"/>
    </row>
    <row r="142" spans="2:4">
      <c r="B142" s="414"/>
      <c r="D142" s="413"/>
    </row>
    <row r="143" spans="2:4">
      <c r="B143" s="414"/>
      <c r="D143" s="413"/>
    </row>
    <row r="144" spans="2:4">
      <c r="B144" s="414"/>
      <c r="D144" s="413"/>
    </row>
    <row r="145" spans="2:4">
      <c r="B145" s="414"/>
      <c r="D145" s="413"/>
    </row>
    <row r="146" spans="2:4">
      <c r="B146" s="414"/>
      <c r="D146" s="413"/>
    </row>
    <row r="147" spans="2:4">
      <c r="B147" s="414"/>
      <c r="D147" s="413"/>
    </row>
    <row r="148" spans="2:4">
      <c r="B148" s="414"/>
      <c r="D148" s="413"/>
    </row>
    <row r="149" spans="2:4">
      <c r="B149" s="414"/>
      <c r="D149" s="413"/>
    </row>
    <row r="150" spans="2:4">
      <c r="B150" s="414"/>
      <c r="D150" s="413"/>
    </row>
    <row r="151" spans="2:4">
      <c r="B151" s="414"/>
      <c r="D151" s="413"/>
    </row>
    <row r="152" spans="2:4">
      <c r="B152" s="414"/>
      <c r="D152" s="413"/>
    </row>
    <row r="153" spans="2:4">
      <c r="B153" s="414"/>
      <c r="D153" s="413"/>
    </row>
    <row r="154" spans="2:4">
      <c r="B154" s="414"/>
      <c r="D154" s="413"/>
    </row>
    <row r="155" spans="2:4">
      <c r="B155" s="414"/>
      <c r="D155" s="413"/>
    </row>
    <row r="156" spans="2:4">
      <c r="B156" s="414"/>
      <c r="D156" s="413"/>
    </row>
    <row r="157" spans="2:4">
      <c r="B157" s="414"/>
      <c r="D157" s="413"/>
    </row>
    <row r="158" spans="2:4">
      <c r="B158" s="414"/>
      <c r="D158" s="413"/>
    </row>
    <row r="159" spans="2:4">
      <c r="B159" s="414"/>
      <c r="D159" s="413"/>
    </row>
    <row r="160" spans="2:4">
      <c r="B160" s="414"/>
      <c r="D160" s="413"/>
    </row>
    <row r="161" spans="2:4">
      <c r="B161" s="414"/>
      <c r="D161" s="413"/>
    </row>
    <row r="162" spans="2:4">
      <c r="B162" s="414"/>
      <c r="D162" s="413"/>
    </row>
    <row r="163" spans="2:4">
      <c r="B163" s="414"/>
      <c r="D163" s="413"/>
    </row>
    <row r="164" spans="2:4">
      <c r="B164" s="414"/>
      <c r="D164" s="413"/>
    </row>
    <row r="165" spans="2:4">
      <c r="B165" s="414"/>
      <c r="D165" s="413"/>
    </row>
    <row r="166" spans="2:4">
      <c r="B166" s="414"/>
      <c r="D166" s="413"/>
    </row>
    <row r="167" spans="2:4">
      <c r="B167" s="414"/>
      <c r="D167" s="413"/>
    </row>
    <row r="168" spans="2:4">
      <c r="B168" s="414"/>
      <c r="D168" s="413"/>
    </row>
    <row r="169" spans="2:4">
      <c r="B169" s="414"/>
      <c r="D169" s="413"/>
    </row>
    <row r="170" spans="2:4">
      <c r="B170" s="414"/>
      <c r="D170" s="413"/>
    </row>
    <row r="171" spans="2:4">
      <c r="B171" s="414"/>
      <c r="D171" s="413"/>
    </row>
    <row r="172" spans="2:4">
      <c r="B172" s="414"/>
      <c r="D172" s="413"/>
    </row>
    <row r="173" spans="2:4">
      <c r="B173" s="414"/>
      <c r="D173" s="413"/>
    </row>
    <row r="174" spans="2:4">
      <c r="B174" s="414"/>
      <c r="D174" s="413"/>
    </row>
    <row r="175" spans="2:4">
      <c r="B175" s="414"/>
      <c r="D175" s="413"/>
    </row>
    <row r="176" spans="2:4">
      <c r="B176" s="414"/>
      <c r="D176" s="413"/>
    </row>
    <row r="177" spans="2:4">
      <c r="B177" s="414"/>
      <c r="D177" s="413"/>
    </row>
    <row r="178" spans="2:4">
      <c r="B178" s="414"/>
      <c r="D178" s="413"/>
    </row>
    <row r="179" spans="2:4">
      <c r="B179" s="414"/>
      <c r="D179" s="413"/>
    </row>
    <row r="180" spans="2:4">
      <c r="B180" s="414"/>
      <c r="D180" s="413"/>
    </row>
    <row r="181" spans="2:4">
      <c r="B181" s="414"/>
      <c r="D181" s="413"/>
    </row>
    <row r="182" spans="2:4">
      <c r="B182" s="414"/>
      <c r="D182" s="413"/>
    </row>
    <row r="183" spans="2:4">
      <c r="B183" s="414"/>
      <c r="D183" s="413"/>
    </row>
    <row r="184" spans="2:4">
      <c r="B184" s="414"/>
      <c r="D184" s="413"/>
    </row>
    <row r="185" spans="2:4">
      <c r="B185" s="414"/>
      <c r="D185" s="413"/>
    </row>
    <row r="186" spans="2:4">
      <c r="B186" s="414"/>
      <c r="D186" s="413"/>
    </row>
    <row r="187" spans="2:4">
      <c r="B187" s="414"/>
      <c r="D187" s="413"/>
    </row>
    <row r="188" spans="2:4">
      <c r="B188" s="414"/>
      <c r="D188" s="413"/>
    </row>
    <row r="189" spans="2:4">
      <c r="B189" s="414"/>
      <c r="D189" s="413"/>
    </row>
    <row r="190" spans="2:4">
      <c r="B190" s="414"/>
      <c r="D190" s="413"/>
    </row>
    <row r="191" spans="2:4">
      <c r="B191" s="414"/>
      <c r="D191" s="413"/>
    </row>
    <row r="192" spans="2:4">
      <c r="B192" s="414"/>
      <c r="D192" s="413"/>
    </row>
    <row r="193" spans="2:4">
      <c r="B193" s="414"/>
      <c r="D193" s="413"/>
    </row>
    <row r="194" spans="2:4">
      <c r="B194" s="414"/>
      <c r="D194" s="413"/>
    </row>
    <row r="195" spans="2:4">
      <c r="B195" s="414"/>
      <c r="D195" s="413"/>
    </row>
    <row r="196" spans="2:4">
      <c r="B196" s="414"/>
      <c r="D196" s="413"/>
    </row>
    <row r="197" spans="2:4">
      <c r="B197" s="414"/>
      <c r="D197" s="413"/>
    </row>
    <row r="198" spans="2:4">
      <c r="B198" s="414"/>
      <c r="D198" s="413"/>
    </row>
    <row r="199" spans="2:4">
      <c r="B199" s="414"/>
      <c r="D199" s="413"/>
    </row>
    <row r="200" spans="2:4">
      <c r="B200" s="414"/>
      <c r="D200" s="413"/>
    </row>
    <row r="201" spans="2:4">
      <c r="B201" s="414"/>
      <c r="D201" s="413"/>
    </row>
    <row r="202" spans="2:4">
      <c r="B202" s="414"/>
      <c r="D202" s="413"/>
    </row>
    <row r="203" spans="2:4">
      <c r="B203" s="414"/>
      <c r="D203" s="413"/>
    </row>
    <row r="204" spans="2:4">
      <c r="B204" s="414"/>
      <c r="D204" s="413"/>
    </row>
    <row r="205" spans="2:4">
      <c r="B205" s="414"/>
      <c r="D205" s="413"/>
    </row>
    <row r="206" spans="2:4">
      <c r="B206" s="414"/>
      <c r="D206" s="413"/>
    </row>
    <row r="207" spans="2:4">
      <c r="B207" s="414"/>
      <c r="D207" s="413"/>
    </row>
    <row r="208" spans="2:4">
      <c r="B208" s="414"/>
      <c r="D208" s="413"/>
    </row>
    <row r="209" spans="2:4">
      <c r="B209" s="414"/>
      <c r="D209" s="413"/>
    </row>
    <row r="210" spans="2:4">
      <c r="B210" s="414"/>
      <c r="D210" s="413"/>
    </row>
    <row r="211" spans="2:4">
      <c r="B211" s="414"/>
      <c r="D211" s="413"/>
    </row>
    <row r="212" spans="2:4">
      <c r="B212" s="414"/>
      <c r="D212" s="413"/>
    </row>
    <row r="213" spans="2:4">
      <c r="B213" s="414"/>
      <c r="D213" s="413"/>
    </row>
    <row r="214" spans="2:4">
      <c r="B214" s="414"/>
      <c r="D214" s="413"/>
    </row>
    <row r="215" spans="2:4">
      <c r="B215" s="414"/>
      <c r="D215" s="413"/>
    </row>
    <row r="216" spans="2:4">
      <c r="B216" s="414"/>
      <c r="D216" s="413"/>
    </row>
    <row r="217" spans="2:4">
      <c r="B217" s="414"/>
      <c r="D217" s="413"/>
    </row>
    <row r="218" spans="2:4">
      <c r="B218" s="414"/>
      <c r="D218" s="413"/>
    </row>
    <row r="219" spans="2:4">
      <c r="B219" s="414"/>
      <c r="D219" s="413"/>
    </row>
    <row r="220" spans="2:4">
      <c r="B220" s="414"/>
      <c r="D220" s="413"/>
    </row>
    <row r="221" spans="2:4">
      <c r="B221" s="414"/>
      <c r="D221" s="413"/>
    </row>
    <row r="222" spans="2:4">
      <c r="B222" s="414"/>
      <c r="D222" s="413"/>
    </row>
    <row r="223" spans="2:4">
      <c r="B223" s="414"/>
      <c r="D223" s="413"/>
    </row>
    <row r="224" spans="2:4">
      <c r="B224" s="414"/>
      <c r="D224" s="413"/>
    </row>
    <row r="225" spans="2:4">
      <c r="B225" s="414"/>
      <c r="D225" s="413"/>
    </row>
    <row r="226" spans="2:4">
      <c r="B226" s="414"/>
      <c r="D226" s="413"/>
    </row>
    <row r="227" spans="2:4">
      <c r="B227" s="414"/>
      <c r="D227" s="413"/>
    </row>
    <row r="228" spans="2:4">
      <c r="B228" s="414"/>
      <c r="D228" s="413"/>
    </row>
    <row r="229" spans="2:4">
      <c r="B229" s="414"/>
      <c r="D229" s="413"/>
    </row>
    <row r="230" spans="2:4">
      <c r="B230" s="414"/>
      <c r="D230" s="413"/>
    </row>
    <row r="231" spans="2:4">
      <c r="B231" s="414"/>
      <c r="D231" s="413"/>
    </row>
    <row r="232" spans="2:4">
      <c r="B232" s="414"/>
      <c r="D232" s="413"/>
    </row>
    <row r="233" spans="2:4">
      <c r="B233" s="414"/>
      <c r="D233" s="413"/>
    </row>
    <row r="234" spans="2:4">
      <c r="B234" s="414"/>
      <c r="D234" s="413"/>
    </row>
    <row r="235" spans="2:4">
      <c r="B235" s="414"/>
      <c r="D235" s="413"/>
    </row>
    <row r="236" spans="2:4">
      <c r="B236" s="414"/>
      <c r="D236" s="413"/>
    </row>
    <row r="237" spans="2:4">
      <c r="B237" s="414"/>
      <c r="D237" s="413"/>
    </row>
    <row r="238" spans="2:4">
      <c r="B238" s="414"/>
      <c r="D238" s="413"/>
    </row>
    <row r="239" spans="2:4">
      <c r="B239" s="414"/>
      <c r="D239" s="413"/>
    </row>
    <row r="240" spans="2:4">
      <c r="B240" s="414"/>
      <c r="D240" s="413"/>
    </row>
    <row r="241" spans="2:4">
      <c r="B241" s="414"/>
      <c r="D241" s="413"/>
    </row>
    <row r="242" spans="2:4">
      <c r="B242" s="414"/>
      <c r="D242" s="413"/>
    </row>
    <row r="243" spans="2:4">
      <c r="B243" s="414"/>
      <c r="D243" s="413"/>
    </row>
    <row r="244" spans="2:4">
      <c r="B244" s="414"/>
      <c r="D244" s="413"/>
    </row>
    <row r="245" spans="2:4">
      <c r="B245" s="414"/>
      <c r="D245" s="413"/>
    </row>
    <row r="246" spans="2:4">
      <c r="B246" s="414"/>
      <c r="D246" s="413"/>
    </row>
    <row r="247" spans="2:4">
      <c r="B247" s="414"/>
      <c r="D247" s="413"/>
    </row>
    <row r="248" spans="2:4">
      <c r="B248" s="414"/>
      <c r="D248" s="413"/>
    </row>
    <row r="249" spans="2:4">
      <c r="B249" s="414"/>
      <c r="D249" s="413"/>
    </row>
    <row r="250" spans="2:4">
      <c r="B250" s="414"/>
      <c r="D250" s="413"/>
    </row>
    <row r="251" spans="2:4">
      <c r="B251" s="414"/>
      <c r="D251" s="413"/>
    </row>
    <row r="252" spans="2:4">
      <c r="B252" s="414"/>
      <c r="D252" s="413"/>
    </row>
    <row r="253" spans="2:4">
      <c r="B253" s="414"/>
      <c r="D253" s="413"/>
    </row>
    <row r="254" spans="2:4">
      <c r="B254" s="414"/>
      <c r="D254" s="413"/>
    </row>
    <row r="255" spans="2:4">
      <c r="B255" s="414"/>
      <c r="D255" s="413"/>
    </row>
    <row r="256" spans="2:4">
      <c r="B256" s="414"/>
      <c r="D256" s="413"/>
    </row>
    <row r="257" spans="2:4">
      <c r="B257" s="414"/>
      <c r="D257" s="413"/>
    </row>
    <row r="258" spans="2:4">
      <c r="B258" s="414"/>
      <c r="D258" s="413"/>
    </row>
    <row r="259" spans="2:4">
      <c r="B259" s="414"/>
      <c r="D259" s="413"/>
    </row>
    <row r="260" spans="2:4">
      <c r="B260" s="414"/>
      <c r="D260" s="413"/>
    </row>
    <row r="261" spans="2:4">
      <c r="B261" s="414"/>
      <c r="D261" s="413"/>
    </row>
    <row r="262" spans="2:4">
      <c r="B262" s="414"/>
      <c r="D262" s="413"/>
    </row>
    <row r="263" spans="2:4">
      <c r="B263" s="414"/>
      <c r="D263" s="413"/>
    </row>
    <row r="264" spans="2:4">
      <c r="B264" s="414"/>
      <c r="D264" s="413"/>
    </row>
    <row r="265" spans="2:4">
      <c r="B265" s="414"/>
      <c r="D265" s="413"/>
    </row>
    <row r="266" spans="2:4">
      <c r="B266" s="414"/>
      <c r="D266" s="413"/>
    </row>
    <row r="267" spans="2:4">
      <c r="B267" s="414"/>
      <c r="D267" s="413"/>
    </row>
    <row r="268" spans="2:4">
      <c r="B268" s="414"/>
      <c r="D268" s="413"/>
    </row>
    <row r="269" spans="2:4">
      <c r="B269" s="414"/>
      <c r="D269" s="413"/>
    </row>
    <row r="270" spans="2:4">
      <c r="B270" s="414"/>
      <c r="D270" s="413"/>
    </row>
    <row r="271" spans="2:4">
      <c r="B271" s="414"/>
      <c r="D271" s="413"/>
    </row>
    <row r="272" spans="2:4">
      <c r="B272" s="414"/>
      <c r="D272" s="413"/>
    </row>
    <row r="273" spans="2:4">
      <c r="B273" s="414"/>
      <c r="D273" s="413"/>
    </row>
    <row r="274" spans="2:4">
      <c r="B274" s="414"/>
      <c r="D274" s="413"/>
    </row>
    <row r="275" spans="2:4">
      <c r="B275" s="414"/>
      <c r="D275" s="413"/>
    </row>
    <row r="276" spans="2:4">
      <c r="B276" s="414"/>
      <c r="D276" s="413"/>
    </row>
    <row r="277" spans="2:4">
      <c r="B277" s="414"/>
      <c r="D277" s="413"/>
    </row>
    <row r="278" spans="2:4">
      <c r="B278" s="414"/>
      <c r="D278" s="413"/>
    </row>
    <row r="279" spans="2:4">
      <c r="B279" s="414"/>
      <c r="D279" s="413"/>
    </row>
    <row r="280" spans="2:4">
      <c r="B280" s="414"/>
      <c r="D280" s="413"/>
    </row>
    <row r="281" spans="2:4">
      <c r="B281" s="414"/>
      <c r="D281" s="413"/>
    </row>
    <row r="282" spans="2:4">
      <c r="B282" s="414"/>
      <c r="D282" s="413"/>
    </row>
    <row r="283" spans="2:4">
      <c r="B283" s="414"/>
      <c r="D283" s="413"/>
    </row>
    <row r="284" spans="2:4">
      <c r="B284" s="414"/>
      <c r="D284" s="413"/>
    </row>
    <row r="285" spans="2:4">
      <c r="B285" s="414"/>
      <c r="D285" s="413"/>
    </row>
    <row r="286" spans="2:4">
      <c r="B286" s="414"/>
      <c r="D286" s="413"/>
    </row>
    <row r="287" spans="2:4">
      <c r="B287" s="414"/>
      <c r="D287" s="413"/>
    </row>
    <row r="288" spans="2:4">
      <c r="B288" s="414"/>
      <c r="D288" s="413"/>
    </row>
    <row r="289" spans="2:4">
      <c r="B289" s="414"/>
      <c r="D289" s="413"/>
    </row>
    <row r="290" spans="2:4">
      <c r="B290" s="414"/>
      <c r="D290" s="413"/>
    </row>
    <row r="291" spans="2:4">
      <c r="B291" s="414"/>
      <c r="D291" s="413"/>
    </row>
    <row r="292" spans="2:4">
      <c r="B292" s="414"/>
      <c r="D292" s="413"/>
    </row>
    <row r="293" spans="2:4">
      <c r="B293" s="414"/>
      <c r="D293" s="413"/>
    </row>
    <row r="294" spans="2:4">
      <c r="B294" s="414"/>
      <c r="D294" s="413"/>
    </row>
    <row r="295" spans="2:4">
      <c r="B295" s="414"/>
      <c r="D295" s="413"/>
    </row>
    <row r="296" spans="2:4">
      <c r="B296" s="414"/>
      <c r="D296" s="413"/>
    </row>
    <row r="297" spans="2:4">
      <c r="B297" s="414"/>
      <c r="D297" s="413"/>
    </row>
    <row r="298" spans="2:4">
      <c r="B298" s="414"/>
      <c r="D298" s="413"/>
    </row>
    <row r="299" spans="2:4">
      <c r="B299" s="414"/>
      <c r="D299" s="413"/>
    </row>
    <row r="300" spans="2:4">
      <c r="B300" s="414"/>
      <c r="D300" s="413"/>
    </row>
    <row r="301" spans="2:4">
      <c r="B301" s="414"/>
      <c r="D301" s="413"/>
    </row>
    <row r="302" spans="2:4">
      <c r="B302" s="414"/>
      <c r="D302" s="413"/>
    </row>
    <row r="303" spans="2:4">
      <c r="B303" s="414"/>
      <c r="D303" s="413"/>
    </row>
    <row r="304" spans="2:4">
      <c r="B304" s="414"/>
      <c r="D304" s="413"/>
    </row>
    <row r="305" spans="2:4">
      <c r="B305" s="414"/>
      <c r="D305" s="413"/>
    </row>
    <row r="306" spans="2:4">
      <c r="B306" s="414"/>
      <c r="D306" s="413"/>
    </row>
    <row r="307" spans="2:4">
      <c r="B307" s="414"/>
      <c r="D307" s="413"/>
    </row>
    <row r="308" spans="2:4">
      <c r="B308" s="414"/>
      <c r="D308" s="413"/>
    </row>
    <row r="309" spans="2:4">
      <c r="B309" s="414"/>
      <c r="D309" s="413"/>
    </row>
    <row r="310" spans="2:4">
      <c r="B310" s="414"/>
      <c r="D310" s="413"/>
    </row>
    <row r="311" spans="2:4">
      <c r="B311" s="414"/>
      <c r="D311" s="413"/>
    </row>
    <row r="312" spans="2:4">
      <c r="B312" s="414"/>
      <c r="D312" s="413"/>
    </row>
    <row r="313" spans="2:4">
      <c r="B313" s="414"/>
      <c r="D313" s="413"/>
    </row>
    <row r="314" spans="2:4">
      <c r="B314" s="414"/>
      <c r="D314" s="413"/>
    </row>
    <row r="315" spans="2:4">
      <c r="B315" s="414"/>
      <c r="D315" s="413"/>
    </row>
    <row r="316" spans="2:4">
      <c r="B316" s="414"/>
      <c r="D316" s="413"/>
    </row>
    <row r="317" spans="2:4">
      <c r="B317" s="414"/>
      <c r="D317" s="413"/>
    </row>
    <row r="318" spans="2:4">
      <c r="B318" s="414"/>
      <c r="D318" s="413"/>
    </row>
    <row r="319" spans="2:4">
      <c r="B319" s="414"/>
      <c r="D319" s="413"/>
    </row>
    <row r="320" spans="2:4">
      <c r="B320" s="414"/>
      <c r="D320" s="413"/>
    </row>
    <row r="321" spans="2:4">
      <c r="B321" s="414"/>
      <c r="D321" s="413"/>
    </row>
    <row r="322" spans="2:4">
      <c r="B322" s="414"/>
      <c r="D322" s="413"/>
    </row>
    <row r="323" spans="2:4">
      <c r="B323" s="414"/>
      <c r="D323" s="413"/>
    </row>
    <row r="324" spans="2:4">
      <c r="B324" s="414"/>
      <c r="D324" s="413"/>
    </row>
    <row r="325" spans="2:4">
      <c r="B325" s="414"/>
      <c r="D325" s="413"/>
    </row>
    <row r="326" spans="2:4">
      <c r="B326" s="414"/>
      <c r="D326" s="413"/>
    </row>
    <row r="327" spans="2:4">
      <c r="B327" s="414"/>
      <c r="D327" s="413"/>
    </row>
    <row r="328" spans="2:4">
      <c r="B328" s="414"/>
      <c r="D328" s="413"/>
    </row>
    <row r="329" spans="2:4">
      <c r="B329" s="414"/>
      <c r="D329" s="413"/>
    </row>
    <row r="330" spans="2:4">
      <c r="B330" s="414"/>
      <c r="D330" s="413"/>
    </row>
    <row r="331" spans="2:4">
      <c r="B331" s="414"/>
      <c r="D331" s="413"/>
    </row>
    <row r="332" spans="2:4">
      <c r="B332" s="414"/>
      <c r="D332" s="413"/>
    </row>
    <row r="333" spans="2:4">
      <c r="B333" s="414"/>
      <c r="D333" s="413"/>
    </row>
    <row r="334" spans="2:4">
      <c r="B334" s="414"/>
      <c r="D334" s="413"/>
    </row>
    <row r="335" spans="2:4">
      <c r="B335" s="414"/>
      <c r="D335" s="413"/>
    </row>
    <row r="336" spans="2:4">
      <c r="B336" s="414"/>
      <c r="D336" s="413"/>
    </row>
    <row r="337" spans="2:4">
      <c r="B337" s="414"/>
      <c r="D337" s="413"/>
    </row>
    <row r="338" spans="2:4">
      <c r="B338" s="414"/>
      <c r="D338" s="413"/>
    </row>
    <row r="339" spans="2:4">
      <c r="B339" s="414"/>
      <c r="D339" s="413"/>
    </row>
    <row r="340" spans="2:4">
      <c r="B340" s="414"/>
      <c r="D340" s="413"/>
    </row>
    <row r="341" spans="2:4">
      <c r="B341" s="414"/>
      <c r="D341" s="413"/>
    </row>
    <row r="342" spans="2:4">
      <c r="B342" s="414"/>
      <c r="D342" s="413"/>
    </row>
    <row r="343" spans="2:4">
      <c r="B343" s="414"/>
      <c r="D343" s="413"/>
    </row>
    <row r="344" spans="2:4">
      <c r="B344" s="414"/>
      <c r="D344" s="413"/>
    </row>
    <row r="345" spans="2:4">
      <c r="B345" s="414"/>
      <c r="D345" s="413"/>
    </row>
    <row r="346" spans="2:4">
      <c r="B346" s="414"/>
      <c r="D346" s="413"/>
    </row>
    <row r="347" spans="2:4">
      <c r="B347" s="414"/>
      <c r="D347" s="413"/>
    </row>
    <row r="348" spans="2:4">
      <c r="B348" s="414"/>
      <c r="D348" s="413"/>
    </row>
    <row r="349" spans="2:4">
      <c r="B349" s="414"/>
      <c r="D349" s="413"/>
    </row>
    <row r="350" spans="2:4">
      <c r="B350" s="414"/>
      <c r="D350" s="413"/>
    </row>
    <row r="351" spans="2:4">
      <c r="B351" s="414"/>
      <c r="D351" s="413"/>
    </row>
    <row r="352" spans="2:4">
      <c r="B352" s="414"/>
      <c r="D352" s="413"/>
    </row>
    <row r="353" spans="2:4">
      <c r="B353" s="414"/>
      <c r="D353" s="413"/>
    </row>
    <row r="354" spans="2:4">
      <c r="B354" s="414"/>
      <c r="D354" s="413"/>
    </row>
    <row r="355" spans="2:4">
      <c r="B355" s="414"/>
      <c r="D355" s="413"/>
    </row>
    <row r="356" spans="2:4">
      <c r="B356" s="414"/>
      <c r="D356" s="413"/>
    </row>
    <row r="357" spans="2:4">
      <c r="B357" s="414"/>
      <c r="D357" s="413"/>
    </row>
    <row r="358" spans="2:4">
      <c r="B358" s="414"/>
      <c r="D358" s="413"/>
    </row>
    <row r="359" spans="2:4">
      <c r="B359" s="414"/>
      <c r="D359" s="413"/>
    </row>
    <row r="360" spans="2:4">
      <c r="B360" s="414"/>
      <c r="D360" s="413"/>
    </row>
    <row r="361" spans="2:4">
      <c r="B361" s="414"/>
      <c r="D361" s="413"/>
    </row>
    <row r="362" spans="2:4">
      <c r="B362" s="414"/>
      <c r="D362" s="413"/>
    </row>
    <row r="363" spans="2:4">
      <c r="B363" s="414"/>
      <c r="D363" s="413"/>
    </row>
    <row r="364" spans="2:4">
      <c r="B364" s="414"/>
      <c r="D364" s="413"/>
    </row>
    <row r="365" spans="2:4">
      <c r="B365" s="414"/>
      <c r="D365" s="413"/>
    </row>
    <row r="366" spans="2:4">
      <c r="B366" s="414"/>
      <c r="D366" s="413"/>
    </row>
    <row r="367" spans="2:4">
      <c r="B367" s="414"/>
      <c r="D367" s="413"/>
    </row>
    <row r="368" spans="2:4">
      <c r="B368" s="414"/>
      <c r="D368" s="413"/>
    </row>
    <row r="369" spans="2:4">
      <c r="B369" s="414"/>
      <c r="D369" s="413"/>
    </row>
    <row r="370" spans="2:4">
      <c r="B370" s="414"/>
      <c r="D370" s="413"/>
    </row>
    <row r="371" spans="2:4">
      <c r="B371" s="414"/>
      <c r="D371" s="413"/>
    </row>
    <row r="372" spans="2:4">
      <c r="B372" s="414"/>
      <c r="D372" s="413"/>
    </row>
    <row r="373" spans="2:4">
      <c r="B373" s="414"/>
      <c r="D373" s="413"/>
    </row>
    <row r="374" spans="2:4">
      <c r="B374" s="414"/>
      <c r="D374" s="413"/>
    </row>
    <row r="375" spans="2:4">
      <c r="B375" s="414"/>
      <c r="D375" s="413"/>
    </row>
    <row r="376" spans="2:4">
      <c r="B376" s="414"/>
      <c r="D376" s="413"/>
    </row>
    <row r="377" spans="2:4">
      <c r="B377" s="414"/>
      <c r="D377" s="413"/>
    </row>
    <row r="378" spans="2:4">
      <c r="B378" s="414"/>
      <c r="D378" s="413"/>
    </row>
    <row r="379" spans="2:4">
      <c r="B379" s="414"/>
      <c r="D379" s="413"/>
    </row>
    <row r="380" spans="2:4">
      <c r="B380" s="414"/>
      <c r="D380" s="413"/>
    </row>
    <row r="381" spans="2:4">
      <c r="B381" s="414"/>
      <c r="D381" s="413"/>
    </row>
    <row r="382" spans="2:4">
      <c r="B382" s="414"/>
      <c r="D382" s="413"/>
    </row>
    <row r="383" spans="2:4">
      <c r="B383" s="414"/>
      <c r="D383" s="413"/>
    </row>
    <row r="384" spans="2:4">
      <c r="B384" s="414"/>
      <c r="D384" s="413"/>
    </row>
    <row r="385" spans="2:4">
      <c r="B385" s="414"/>
      <c r="D385" s="413"/>
    </row>
    <row r="386" spans="2:4">
      <c r="B386" s="414"/>
      <c r="D386" s="413"/>
    </row>
    <row r="387" spans="2:4">
      <c r="B387" s="414"/>
      <c r="D387" s="413"/>
    </row>
    <row r="388" spans="2:4">
      <c r="B388" s="414"/>
      <c r="D388" s="413"/>
    </row>
    <row r="389" spans="2:4">
      <c r="B389" s="414"/>
      <c r="D389" s="413"/>
    </row>
    <row r="390" spans="2:4">
      <c r="B390" s="414"/>
      <c r="D390" s="413"/>
    </row>
    <row r="391" spans="2:4">
      <c r="B391" s="414"/>
      <c r="D391" s="413"/>
    </row>
    <row r="392" spans="2:4">
      <c r="B392" s="414"/>
      <c r="D392" s="413"/>
    </row>
    <row r="393" spans="2:4">
      <c r="B393" s="414"/>
      <c r="D393" s="413"/>
    </row>
    <row r="394" spans="2:4">
      <c r="B394" s="414"/>
      <c r="D394" s="413"/>
    </row>
    <row r="395" spans="2:4">
      <c r="B395" s="414"/>
      <c r="D395" s="413"/>
    </row>
    <row r="396" spans="2:4">
      <c r="B396" s="414"/>
      <c r="D396" s="413"/>
    </row>
    <row r="397" spans="2:4">
      <c r="B397" s="414"/>
      <c r="D397" s="413"/>
    </row>
    <row r="398" spans="2:4">
      <c r="B398" s="414"/>
      <c r="D398" s="413"/>
    </row>
    <row r="399" spans="2:4">
      <c r="B399" s="414"/>
      <c r="D399" s="413"/>
    </row>
    <row r="400" spans="2:4">
      <c r="B400" s="414"/>
      <c r="D400" s="413"/>
    </row>
    <row r="401" spans="2:4">
      <c r="B401" s="414"/>
      <c r="D401" s="413"/>
    </row>
    <row r="402" spans="2:4">
      <c r="B402" s="414"/>
      <c r="D402" s="413"/>
    </row>
    <row r="403" spans="2:4">
      <c r="B403" s="414"/>
      <c r="D403" s="413"/>
    </row>
    <row r="404" spans="2:4">
      <c r="B404" s="414"/>
      <c r="D404" s="413"/>
    </row>
    <row r="405" spans="2:4">
      <c r="B405" s="414"/>
      <c r="D405" s="413"/>
    </row>
    <row r="406" spans="2:4">
      <c r="B406" s="414"/>
      <c r="D406" s="413"/>
    </row>
    <row r="407" spans="2:4">
      <c r="B407" s="414"/>
      <c r="D407" s="413"/>
    </row>
    <row r="408" spans="2:4">
      <c r="B408" s="414"/>
      <c r="D408" s="413"/>
    </row>
    <row r="409" spans="2:4">
      <c r="B409" s="414"/>
      <c r="D409" s="413"/>
    </row>
    <row r="410" spans="2:4">
      <c r="B410" s="414"/>
      <c r="D410" s="413"/>
    </row>
    <row r="411" spans="2:4">
      <c r="B411" s="414"/>
      <c r="D411" s="413"/>
    </row>
    <row r="412" spans="2:4">
      <c r="B412" s="414"/>
      <c r="D412" s="413"/>
    </row>
    <row r="413" spans="2:4">
      <c r="B413" s="414"/>
      <c r="D413" s="413"/>
    </row>
    <row r="414" spans="2:4">
      <c r="B414" s="414"/>
      <c r="D414" s="413"/>
    </row>
    <row r="415" spans="2:4">
      <c r="B415" s="414"/>
      <c r="D415" s="413"/>
    </row>
    <row r="416" spans="2:4">
      <c r="B416" s="414"/>
      <c r="D416" s="413"/>
    </row>
    <row r="417" spans="2:4">
      <c r="B417" s="414"/>
      <c r="D417" s="413"/>
    </row>
    <row r="418" spans="2:4">
      <c r="B418" s="414"/>
      <c r="D418" s="413"/>
    </row>
    <row r="419" spans="2:4">
      <c r="B419" s="414"/>
      <c r="D419" s="413"/>
    </row>
    <row r="420" spans="2:4">
      <c r="B420" s="414"/>
      <c r="D420" s="413"/>
    </row>
    <row r="421" spans="2:4">
      <c r="B421" s="414"/>
      <c r="D421" s="413"/>
    </row>
    <row r="422" spans="2:4">
      <c r="B422" s="414"/>
      <c r="D422" s="413"/>
    </row>
    <row r="423" spans="2:4">
      <c r="B423" s="414"/>
      <c r="D423" s="413"/>
    </row>
    <row r="424" spans="2:4">
      <c r="B424" s="414"/>
      <c r="D424" s="413"/>
    </row>
    <row r="425" spans="2:4">
      <c r="B425" s="414"/>
      <c r="D425" s="413"/>
    </row>
    <row r="426" spans="2:4">
      <c r="B426" s="414"/>
      <c r="D426" s="413"/>
    </row>
    <row r="427" spans="2:4">
      <c r="B427" s="414"/>
      <c r="D427" s="413"/>
    </row>
    <row r="428" spans="2:4">
      <c r="B428" s="414"/>
      <c r="D428" s="413"/>
    </row>
    <row r="429" spans="2:4">
      <c r="B429" s="414"/>
      <c r="D429" s="413"/>
    </row>
    <row r="430" spans="2:4">
      <c r="B430" s="414"/>
      <c r="D430" s="413"/>
    </row>
    <row r="431" spans="2:4">
      <c r="B431" s="414"/>
      <c r="D431" s="413"/>
    </row>
    <row r="432" spans="2:4">
      <c r="B432" s="414"/>
      <c r="D432" s="413"/>
    </row>
    <row r="433" spans="2:4">
      <c r="B433" s="414"/>
      <c r="D433" s="413"/>
    </row>
    <row r="434" spans="2:4">
      <c r="B434" s="414"/>
      <c r="D434" s="413"/>
    </row>
    <row r="435" spans="2:4">
      <c r="B435" s="414"/>
      <c r="D435" s="413"/>
    </row>
    <row r="436" spans="2:4">
      <c r="B436" s="414"/>
      <c r="D436" s="413"/>
    </row>
    <row r="437" spans="2:4">
      <c r="B437" s="414"/>
      <c r="D437" s="413"/>
    </row>
    <row r="438" spans="2:4">
      <c r="B438" s="414"/>
      <c r="D438" s="413"/>
    </row>
    <row r="439" spans="2:4">
      <c r="B439" s="414"/>
      <c r="D439" s="413"/>
    </row>
    <row r="440" spans="2:4">
      <c r="B440" s="414"/>
      <c r="D440" s="413"/>
    </row>
    <row r="441" spans="2:4">
      <c r="B441" s="414"/>
      <c r="D441" s="413"/>
    </row>
    <row r="442" spans="2:4">
      <c r="B442" s="414"/>
      <c r="D442" s="413"/>
    </row>
    <row r="443" spans="2:4">
      <c r="B443" s="414"/>
      <c r="D443" s="413"/>
    </row>
    <row r="444" spans="2:4">
      <c r="B444" s="414"/>
      <c r="D444" s="413"/>
    </row>
    <row r="445" spans="2:4">
      <c r="B445" s="414"/>
      <c r="D445" s="413"/>
    </row>
    <row r="446" spans="2:4">
      <c r="B446" s="414"/>
      <c r="D446" s="413"/>
    </row>
    <row r="447" spans="2:4">
      <c r="B447" s="414"/>
      <c r="D447" s="413"/>
    </row>
    <row r="448" spans="2:4">
      <c r="B448" s="414"/>
      <c r="D448" s="413"/>
    </row>
    <row r="449" spans="2:4">
      <c r="B449" s="414"/>
      <c r="D449" s="413"/>
    </row>
    <row r="450" spans="2:4">
      <c r="B450" s="414"/>
      <c r="D450" s="413"/>
    </row>
    <row r="451" spans="2:4">
      <c r="B451" s="414"/>
      <c r="D451" s="413"/>
    </row>
    <row r="452" spans="2:4">
      <c r="B452" s="414"/>
      <c r="D452" s="413"/>
    </row>
    <row r="453" spans="2:4">
      <c r="B453" s="414"/>
      <c r="D453" s="413"/>
    </row>
    <row r="454" spans="2:4">
      <c r="B454" s="414"/>
      <c r="D454" s="413"/>
    </row>
    <row r="455" spans="2:4">
      <c r="B455" s="414"/>
      <c r="D455" s="413"/>
    </row>
    <row r="456" spans="2:4">
      <c r="B456" s="414"/>
      <c r="D456" s="413"/>
    </row>
    <row r="457" spans="2:4">
      <c r="B457" s="414"/>
      <c r="D457" s="413"/>
    </row>
    <row r="458" spans="2:4">
      <c r="B458" s="414"/>
      <c r="D458" s="413"/>
    </row>
    <row r="459" spans="2:4">
      <c r="B459" s="414"/>
      <c r="D459" s="413"/>
    </row>
    <row r="460" spans="2:4">
      <c r="B460" s="414"/>
      <c r="D460" s="413"/>
    </row>
    <row r="461" spans="2:4">
      <c r="B461" s="414"/>
      <c r="D461" s="413"/>
    </row>
    <row r="462" spans="2:4">
      <c r="B462" s="414"/>
      <c r="D462" s="413"/>
    </row>
    <row r="463" spans="2:4">
      <c r="B463" s="414"/>
      <c r="D463" s="413"/>
    </row>
    <row r="464" spans="2:4">
      <c r="B464" s="414"/>
      <c r="D464" s="413"/>
    </row>
    <row r="465" spans="2:4">
      <c r="B465" s="414"/>
      <c r="D465" s="413"/>
    </row>
    <row r="466" spans="2:4">
      <c r="B466" s="414"/>
      <c r="D466" s="413"/>
    </row>
    <row r="467" spans="2:4">
      <c r="B467" s="414"/>
      <c r="D467" s="413"/>
    </row>
    <row r="468" spans="2:4">
      <c r="B468" s="414"/>
      <c r="D468" s="413"/>
    </row>
    <row r="469" spans="2:4">
      <c r="B469" s="414"/>
      <c r="D469" s="413"/>
    </row>
    <row r="470" spans="2:4">
      <c r="B470" s="414"/>
      <c r="D470" s="413"/>
    </row>
    <row r="471" spans="2:4">
      <c r="B471" s="414"/>
      <c r="D471" s="413"/>
    </row>
    <row r="472" spans="2:4">
      <c r="B472" s="414"/>
      <c r="D472" s="413"/>
    </row>
    <row r="473" spans="2:4">
      <c r="B473" s="414"/>
      <c r="D473" s="413"/>
    </row>
    <row r="474" spans="2:4">
      <c r="B474" s="414"/>
      <c r="D474" s="413"/>
    </row>
    <row r="475" spans="2:4">
      <c r="B475" s="414"/>
      <c r="D475" s="413"/>
    </row>
    <row r="476" spans="2:4">
      <c r="B476" s="414"/>
      <c r="D476" s="413"/>
    </row>
    <row r="477" spans="2:4">
      <c r="B477" s="414"/>
      <c r="D477" s="413"/>
    </row>
    <row r="478" spans="2:4">
      <c r="B478" s="414"/>
      <c r="D478" s="413"/>
    </row>
    <row r="479" spans="2:4">
      <c r="B479" s="414"/>
      <c r="D479" s="413"/>
    </row>
    <row r="480" spans="2:4">
      <c r="B480" s="414"/>
      <c r="D480" s="413"/>
    </row>
    <row r="481" spans="2:4">
      <c r="B481" s="414"/>
      <c r="D481" s="413"/>
    </row>
    <row r="482" spans="2:4">
      <c r="B482" s="414"/>
      <c r="D482" s="413"/>
    </row>
    <row r="483" spans="2:4">
      <c r="B483" s="414"/>
      <c r="D483" s="413"/>
    </row>
    <row r="484" spans="2:4">
      <c r="B484" s="414"/>
      <c r="D484" s="413"/>
    </row>
    <row r="485" spans="2:4">
      <c r="B485" s="414"/>
      <c r="D485" s="413"/>
    </row>
    <row r="486" spans="2:4">
      <c r="B486" s="414"/>
      <c r="D486" s="413"/>
    </row>
    <row r="487" spans="2:4">
      <c r="B487" s="414"/>
      <c r="D487" s="413"/>
    </row>
    <row r="488" spans="2:4">
      <c r="B488" s="414"/>
      <c r="D488" s="413"/>
    </row>
    <row r="489" spans="2:4">
      <c r="B489" s="414"/>
      <c r="D489" s="413"/>
    </row>
    <row r="490" spans="2:4">
      <c r="B490" s="414"/>
      <c r="D490" s="413"/>
    </row>
    <row r="491" spans="2:4">
      <c r="B491" s="414"/>
      <c r="D491" s="413"/>
    </row>
    <row r="492" spans="2:4">
      <c r="B492" s="414"/>
      <c r="D492" s="413"/>
    </row>
    <row r="493" spans="2:4">
      <c r="B493" s="414"/>
      <c r="D493" s="413"/>
    </row>
    <row r="494" spans="2:4">
      <c r="B494" s="414"/>
      <c r="D494" s="413"/>
    </row>
    <row r="495" spans="2:4">
      <c r="B495" s="414"/>
      <c r="D495" s="413"/>
    </row>
    <row r="496" spans="2:4">
      <c r="B496" s="414"/>
      <c r="D496" s="413"/>
    </row>
    <row r="497" spans="2:4">
      <c r="B497" s="414"/>
      <c r="D497" s="413"/>
    </row>
    <row r="498" spans="2:4">
      <c r="B498" s="414"/>
      <c r="D498" s="413"/>
    </row>
    <row r="499" spans="2:4">
      <c r="B499" s="414"/>
      <c r="D499" s="413"/>
    </row>
    <row r="500" spans="2:4">
      <c r="B500" s="414"/>
      <c r="D500" s="413"/>
    </row>
    <row r="501" spans="2:4">
      <c r="B501" s="414"/>
      <c r="D501" s="413"/>
    </row>
    <row r="502" spans="2:4">
      <c r="B502" s="414"/>
      <c r="D502" s="413"/>
    </row>
    <row r="503" spans="2:4">
      <c r="B503" s="414"/>
      <c r="D503" s="413"/>
    </row>
    <row r="504" spans="2:4">
      <c r="B504" s="414"/>
      <c r="D504" s="413"/>
    </row>
    <row r="505" spans="2:4">
      <c r="B505" s="414"/>
      <c r="D505" s="413"/>
    </row>
    <row r="506" spans="2:4">
      <c r="B506" s="414"/>
      <c r="D506" s="413"/>
    </row>
    <row r="507" spans="2:4">
      <c r="B507" s="414"/>
      <c r="D507" s="413"/>
    </row>
    <row r="508" spans="2:4">
      <c r="B508" s="414"/>
      <c r="D508" s="413"/>
    </row>
    <row r="509" spans="2:4">
      <c r="B509" s="414"/>
      <c r="D509" s="413"/>
    </row>
    <row r="510" spans="2:4">
      <c r="B510" s="414"/>
      <c r="D510" s="413"/>
    </row>
    <row r="511" spans="2:4">
      <c r="B511" s="414"/>
      <c r="D511" s="413"/>
    </row>
    <row r="512" spans="2:4">
      <c r="B512" s="414"/>
      <c r="D512" s="413"/>
    </row>
    <row r="513" spans="2:4">
      <c r="B513" s="414"/>
      <c r="D513" s="413"/>
    </row>
    <row r="514" spans="2:4">
      <c r="B514" s="414"/>
      <c r="D514" s="413"/>
    </row>
    <row r="515" spans="2:4">
      <c r="B515" s="414"/>
      <c r="D515" s="413"/>
    </row>
    <row r="516" spans="2:4">
      <c r="B516" s="414"/>
      <c r="D516" s="413"/>
    </row>
    <row r="517" spans="2:4">
      <c r="B517" s="414"/>
      <c r="D517" s="413"/>
    </row>
    <row r="518" spans="2:4">
      <c r="B518" s="414"/>
      <c r="D518" s="413"/>
    </row>
    <row r="519" spans="2:4">
      <c r="B519" s="414"/>
      <c r="D519" s="413"/>
    </row>
    <row r="520" spans="2:4">
      <c r="B520" s="414"/>
      <c r="D520" s="413"/>
    </row>
    <row r="521" spans="2:4">
      <c r="B521" s="414"/>
      <c r="D521" s="413"/>
    </row>
    <row r="522" spans="2:4">
      <c r="B522" s="414"/>
      <c r="D522" s="413"/>
    </row>
    <row r="523" spans="2:4">
      <c r="B523" s="414"/>
      <c r="D523" s="413"/>
    </row>
    <row r="524" spans="2:4">
      <c r="B524" s="414"/>
      <c r="D524" s="413"/>
    </row>
    <row r="525" spans="2:4">
      <c r="B525" s="414"/>
      <c r="D525" s="413"/>
    </row>
    <row r="526" spans="2:4">
      <c r="B526" s="414"/>
      <c r="D526" s="413"/>
    </row>
    <row r="527" spans="2:4">
      <c r="B527" s="414"/>
      <c r="D527" s="413"/>
    </row>
    <row r="528" spans="2:4">
      <c r="B528" s="414"/>
      <c r="D528" s="413"/>
    </row>
    <row r="529" spans="2:4">
      <c r="B529" s="414"/>
      <c r="D529" s="413"/>
    </row>
    <row r="530" spans="2:4">
      <c r="B530" s="414"/>
      <c r="D530" s="413"/>
    </row>
    <row r="531" spans="2:4">
      <c r="B531" s="414"/>
      <c r="D531" s="413"/>
    </row>
    <row r="532" spans="2:4">
      <c r="B532" s="414"/>
      <c r="D532" s="413"/>
    </row>
    <row r="533" spans="2:4">
      <c r="B533" s="414"/>
      <c r="D533" s="413"/>
    </row>
    <row r="534" spans="2:4">
      <c r="B534" s="414"/>
      <c r="D534" s="413"/>
    </row>
    <row r="535" spans="2:4">
      <c r="B535" s="414"/>
      <c r="D535" s="413"/>
    </row>
    <row r="536" spans="2:4">
      <c r="B536" s="414"/>
      <c r="D536" s="413"/>
    </row>
    <row r="537" spans="2:4">
      <c r="B537" s="414"/>
      <c r="D537" s="413"/>
    </row>
    <row r="538" spans="2:4">
      <c r="B538" s="414"/>
      <c r="D538" s="413"/>
    </row>
    <row r="539" spans="2:4">
      <c r="B539" s="414"/>
      <c r="D539" s="413"/>
    </row>
    <row r="540" spans="2:4">
      <c r="B540" s="414"/>
      <c r="D540" s="413"/>
    </row>
    <row r="541" spans="2:4">
      <c r="B541" s="414"/>
      <c r="D541" s="413"/>
    </row>
    <row r="542" spans="2:4">
      <c r="B542" s="414"/>
      <c r="D542" s="413"/>
    </row>
    <row r="543" spans="2:4">
      <c r="B543" s="414"/>
      <c r="D543" s="413"/>
    </row>
    <row r="544" spans="2:4">
      <c r="B544" s="414"/>
      <c r="D544" s="413"/>
    </row>
    <row r="545" spans="2:4">
      <c r="B545" s="414"/>
      <c r="D545" s="413"/>
    </row>
    <row r="546" spans="2:4">
      <c r="B546" s="414"/>
      <c r="D546" s="413"/>
    </row>
    <row r="547" spans="2:4">
      <c r="B547" s="414"/>
      <c r="D547" s="413"/>
    </row>
    <row r="548" spans="2:4">
      <c r="B548" s="414"/>
      <c r="D548" s="413"/>
    </row>
    <row r="549" spans="2:4">
      <c r="B549" s="414"/>
      <c r="D549" s="413"/>
    </row>
    <row r="550" spans="2:4">
      <c r="B550" s="414"/>
      <c r="D550" s="413"/>
    </row>
    <row r="551" spans="2:4">
      <c r="B551" s="414"/>
      <c r="D551" s="413"/>
    </row>
    <row r="552" spans="2:4">
      <c r="B552" s="414"/>
      <c r="D552" s="413"/>
    </row>
    <row r="553" spans="2:4">
      <c r="B553" s="414"/>
      <c r="D553" s="413"/>
    </row>
    <row r="554" spans="2:4">
      <c r="B554" s="414"/>
      <c r="D554" s="413"/>
    </row>
    <row r="555" spans="2:4">
      <c r="B555" s="414"/>
      <c r="D555" s="413"/>
    </row>
    <row r="556" spans="2:4">
      <c r="B556" s="414"/>
      <c r="D556" s="413"/>
    </row>
    <row r="557" spans="2:4">
      <c r="B557" s="414"/>
      <c r="D557" s="413"/>
    </row>
    <row r="558" spans="2:4">
      <c r="B558" s="414"/>
      <c r="D558" s="413"/>
    </row>
    <row r="559" spans="2:4">
      <c r="B559" s="414"/>
      <c r="D559" s="413"/>
    </row>
    <row r="560" spans="2:4">
      <c r="B560" s="414"/>
      <c r="D560" s="413"/>
    </row>
    <row r="561" spans="2:4">
      <c r="B561" s="414"/>
      <c r="D561" s="413"/>
    </row>
    <row r="562" spans="2:4">
      <c r="B562" s="414"/>
      <c r="D562" s="413"/>
    </row>
    <row r="563" spans="2:4">
      <c r="B563" s="414"/>
      <c r="D563" s="413"/>
    </row>
    <row r="564" spans="2:4">
      <c r="B564" s="414"/>
      <c r="D564" s="413"/>
    </row>
    <row r="565" spans="2:4">
      <c r="B565" s="414"/>
      <c r="D565" s="413"/>
    </row>
    <row r="566" spans="2:4">
      <c r="B566" s="414"/>
      <c r="D566" s="413"/>
    </row>
    <row r="567" spans="2:4">
      <c r="B567" s="414"/>
      <c r="D567" s="413"/>
    </row>
    <row r="568" spans="2:4">
      <c r="B568" s="414"/>
      <c r="D568" s="413"/>
    </row>
    <row r="569" spans="2:4">
      <c r="B569" s="414"/>
      <c r="D569" s="413"/>
    </row>
    <row r="570" spans="2:4">
      <c r="B570" s="414"/>
      <c r="D570" s="413"/>
    </row>
    <row r="571" spans="2:4">
      <c r="B571" s="414"/>
      <c r="D571" s="413"/>
    </row>
    <row r="572" spans="2:4">
      <c r="B572" s="414"/>
      <c r="D572" s="413"/>
    </row>
    <row r="573" spans="2:4">
      <c r="B573" s="414"/>
      <c r="D573" s="413"/>
    </row>
    <row r="574" spans="2:4">
      <c r="B574" s="414"/>
      <c r="D574" s="413"/>
    </row>
    <row r="575" spans="2:4">
      <c r="B575" s="414"/>
      <c r="D575" s="413"/>
    </row>
    <row r="576" spans="2:4">
      <c r="B576" s="414"/>
      <c r="D576" s="413"/>
    </row>
    <row r="577" spans="2:4">
      <c r="B577" s="414"/>
      <c r="D577" s="413"/>
    </row>
    <row r="578" spans="2:4">
      <c r="B578" s="414"/>
      <c r="D578" s="413"/>
    </row>
    <row r="579" spans="2:4">
      <c r="B579" s="414"/>
      <c r="D579" s="413"/>
    </row>
    <row r="580" spans="2:4">
      <c r="B580" s="414"/>
      <c r="D580" s="413"/>
    </row>
    <row r="581" spans="2:4">
      <c r="B581" s="414"/>
      <c r="D581" s="413"/>
    </row>
    <row r="582" spans="2:4">
      <c r="B582" s="414"/>
      <c r="D582" s="413"/>
    </row>
    <row r="583" spans="2:4">
      <c r="B583" s="414"/>
      <c r="D583" s="413"/>
    </row>
    <row r="584" spans="2:4">
      <c r="B584" s="414"/>
      <c r="D584" s="413"/>
    </row>
    <row r="585" spans="2:4">
      <c r="B585" s="414"/>
      <c r="D585" s="413"/>
    </row>
    <row r="586" spans="2:4">
      <c r="B586" s="414"/>
      <c r="D586" s="413"/>
    </row>
    <row r="587" spans="2:4">
      <c r="B587" s="414"/>
      <c r="D587" s="413"/>
    </row>
    <row r="588" spans="2:4">
      <c r="B588" s="414"/>
      <c r="D588" s="413"/>
    </row>
    <row r="589" spans="2:4">
      <c r="B589" s="414"/>
      <c r="D589" s="413"/>
    </row>
    <row r="590" spans="2:4">
      <c r="B590" s="414"/>
      <c r="D590" s="413"/>
    </row>
    <row r="591" spans="2:4">
      <c r="B591" s="414"/>
      <c r="D591" s="413"/>
    </row>
    <row r="592" spans="2:4">
      <c r="B592" s="414"/>
      <c r="D592" s="413"/>
    </row>
    <row r="593" spans="2:4">
      <c r="B593" s="414"/>
      <c r="D593" s="413"/>
    </row>
    <row r="594" spans="2:4">
      <c r="B594" s="414"/>
      <c r="D594" s="413"/>
    </row>
    <row r="595" spans="2:4">
      <c r="B595" s="414"/>
      <c r="D595" s="413"/>
    </row>
    <row r="596" spans="2:4">
      <c r="B596" s="414"/>
      <c r="D596" s="413"/>
    </row>
    <row r="597" spans="2:4">
      <c r="B597" s="414"/>
      <c r="D597" s="413"/>
    </row>
    <row r="598" spans="2:4">
      <c r="B598" s="414"/>
      <c r="D598" s="413"/>
    </row>
    <row r="599" spans="2:4">
      <c r="B599" s="414"/>
      <c r="D599" s="413"/>
    </row>
    <row r="600" spans="2:4">
      <c r="B600" s="414"/>
      <c r="D600" s="413"/>
    </row>
    <row r="601" spans="2:4">
      <c r="B601" s="414"/>
      <c r="D601" s="413"/>
    </row>
    <row r="602" spans="2:4">
      <c r="B602" s="414"/>
      <c r="D602" s="413"/>
    </row>
    <row r="603" spans="2:4">
      <c r="B603" s="414"/>
      <c r="D603" s="413"/>
    </row>
    <row r="604" spans="2:4">
      <c r="B604" s="414"/>
      <c r="D604" s="413"/>
    </row>
    <row r="605" spans="2:4">
      <c r="B605" s="414"/>
      <c r="D605" s="413"/>
    </row>
    <row r="606" spans="2:4">
      <c r="B606" s="414"/>
      <c r="D606" s="413"/>
    </row>
    <row r="607" spans="2:4">
      <c r="B607" s="414"/>
      <c r="D607" s="413"/>
    </row>
    <row r="608" spans="2:4">
      <c r="B608" s="414"/>
      <c r="D608" s="413"/>
    </row>
    <row r="609" spans="2:4">
      <c r="B609" s="414"/>
      <c r="D609" s="413"/>
    </row>
    <row r="610" spans="2:4">
      <c r="B610" s="414"/>
      <c r="D610" s="413"/>
    </row>
    <row r="611" spans="2:4">
      <c r="B611" s="414"/>
      <c r="D611" s="413"/>
    </row>
    <row r="612" spans="2:4">
      <c r="B612" s="414"/>
      <c r="D612" s="413"/>
    </row>
    <row r="613" spans="2:4">
      <c r="B613" s="414"/>
      <c r="D613" s="413"/>
    </row>
    <row r="614" spans="2:4">
      <c r="B614" s="414"/>
      <c r="D614" s="413"/>
    </row>
    <row r="615" spans="2:4">
      <c r="B615" s="414"/>
      <c r="D615" s="413"/>
    </row>
    <row r="616" spans="2:4">
      <c r="B616" s="414"/>
      <c r="D616" s="413"/>
    </row>
    <row r="617" spans="2:4">
      <c r="B617" s="414"/>
      <c r="D617" s="413"/>
    </row>
    <row r="618" spans="2:4">
      <c r="B618" s="414"/>
      <c r="D618" s="413"/>
    </row>
    <row r="619" spans="2:4">
      <c r="B619" s="414"/>
      <c r="D619" s="413"/>
    </row>
    <row r="620" spans="2:4">
      <c r="B620" s="414"/>
      <c r="D620" s="413"/>
    </row>
    <row r="621" spans="2:4">
      <c r="B621" s="414"/>
      <c r="D621" s="413"/>
    </row>
    <row r="622" spans="2:4">
      <c r="B622" s="414"/>
      <c r="D622" s="413"/>
    </row>
    <row r="623" spans="2:4">
      <c r="B623" s="414"/>
      <c r="D623" s="413"/>
    </row>
    <row r="624" spans="2:4">
      <c r="B624" s="414"/>
      <c r="D624" s="413"/>
    </row>
    <row r="625" spans="2:4">
      <c r="B625" s="414"/>
      <c r="D625" s="413"/>
    </row>
    <row r="626" spans="2:4">
      <c r="B626" s="414"/>
      <c r="D626" s="413"/>
    </row>
    <row r="627" spans="2:4">
      <c r="B627" s="414"/>
      <c r="D627" s="413"/>
    </row>
    <row r="628" spans="2:4">
      <c r="B628" s="414"/>
      <c r="D628" s="413"/>
    </row>
    <row r="629" spans="2:4">
      <c r="B629" s="414"/>
      <c r="D629" s="413"/>
    </row>
    <row r="630" spans="2:4">
      <c r="B630" s="414"/>
      <c r="D630" s="413"/>
    </row>
    <row r="631" spans="2:4">
      <c r="B631" s="414"/>
      <c r="D631" s="413"/>
    </row>
    <row r="632" spans="2:4">
      <c r="B632" s="414"/>
      <c r="D632" s="413"/>
    </row>
    <row r="633" spans="2:4">
      <c r="B633" s="414"/>
      <c r="D633" s="413"/>
    </row>
    <row r="634" spans="2:4">
      <c r="B634" s="414"/>
      <c r="D634" s="413"/>
    </row>
    <row r="635" spans="2:4">
      <c r="B635" s="414"/>
      <c r="D635" s="413"/>
    </row>
    <row r="636" spans="2:4">
      <c r="B636" s="414"/>
      <c r="D636" s="413"/>
    </row>
    <row r="637" spans="2:4">
      <c r="B637" s="414"/>
      <c r="D637" s="413"/>
    </row>
    <row r="638" spans="2:4">
      <c r="B638" s="414"/>
      <c r="D638" s="413"/>
    </row>
    <row r="639" spans="2:4">
      <c r="B639" s="414"/>
      <c r="D639" s="413"/>
    </row>
    <row r="640" spans="2:4">
      <c r="B640" s="414"/>
      <c r="D640" s="413"/>
    </row>
    <row r="641" spans="2:4">
      <c r="B641" s="414"/>
      <c r="D641" s="413"/>
    </row>
    <row r="642" spans="2:4">
      <c r="B642" s="414"/>
      <c r="D642" s="413"/>
    </row>
    <row r="643" spans="2:4">
      <c r="B643" s="414"/>
      <c r="D643" s="413"/>
    </row>
    <row r="644" spans="2:4">
      <c r="B644" s="414"/>
      <c r="D644" s="413"/>
    </row>
    <row r="645" spans="2:4">
      <c r="B645" s="414"/>
      <c r="D645" s="413"/>
    </row>
    <row r="646" spans="2:4">
      <c r="B646" s="414"/>
      <c r="D646" s="413"/>
    </row>
    <row r="647" spans="2:4">
      <c r="B647" s="414"/>
      <c r="D647" s="413"/>
    </row>
    <row r="648" spans="2:4">
      <c r="B648" s="414"/>
      <c r="D648" s="413"/>
    </row>
    <row r="649" spans="2:4">
      <c r="B649" s="414"/>
      <c r="D649" s="413"/>
    </row>
    <row r="650" spans="2:4">
      <c r="B650" s="414"/>
      <c r="D650" s="413"/>
    </row>
    <row r="651" spans="2:4">
      <c r="B651" s="414"/>
      <c r="D651" s="413"/>
    </row>
    <row r="652" spans="2:4">
      <c r="B652" s="414"/>
      <c r="D652" s="413"/>
    </row>
    <row r="653" spans="2:4">
      <c r="B653" s="414"/>
      <c r="D653" s="413"/>
    </row>
    <row r="654" spans="2:4">
      <c r="B654" s="414"/>
      <c r="D654" s="413"/>
    </row>
    <row r="655" spans="2:4">
      <c r="B655" s="414"/>
      <c r="D655" s="413"/>
    </row>
    <row r="656" spans="2:4">
      <c r="B656" s="414"/>
      <c r="D656" s="413"/>
    </row>
    <row r="657" spans="2:4">
      <c r="B657" s="414"/>
      <c r="D657" s="413"/>
    </row>
    <row r="658" spans="2:4">
      <c r="B658" s="414"/>
      <c r="D658" s="413"/>
    </row>
    <row r="659" spans="2:4">
      <c r="B659" s="414"/>
      <c r="D659" s="413"/>
    </row>
    <row r="660" spans="2:4">
      <c r="B660" s="414"/>
      <c r="D660" s="413"/>
    </row>
    <row r="661" spans="2:4">
      <c r="B661" s="414"/>
      <c r="D661" s="413"/>
    </row>
    <row r="662" spans="2:4">
      <c r="B662" s="414"/>
      <c r="D662" s="413"/>
    </row>
    <row r="663" spans="2:4">
      <c r="B663" s="414"/>
      <c r="D663" s="413"/>
    </row>
    <row r="664" spans="2:4">
      <c r="B664" s="414"/>
      <c r="D664" s="413"/>
    </row>
    <row r="665" spans="2:4">
      <c r="B665" s="414"/>
      <c r="D665" s="413"/>
    </row>
    <row r="666" spans="2:4">
      <c r="B666" s="414"/>
      <c r="D666" s="413"/>
    </row>
    <row r="667" spans="2:4">
      <c r="B667" s="414"/>
      <c r="D667" s="413"/>
    </row>
    <row r="668" spans="2:4">
      <c r="B668" s="414"/>
      <c r="D668" s="413"/>
    </row>
    <row r="669" spans="2:4">
      <c r="B669" s="414"/>
      <c r="D669" s="413"/>
    </row>
    <row r="670" spans="2:4">
      <c r="B670" s="414"/>
      <c r="D670" s="413"/>
    </row>
    <row r="671" spans="2:4">
      <c r="B671" s="414"/>
      <c r="D671" s="413"/>
    </row>
    <row r="672" spans="2:4">
      <c r="B672" s="414"/>
      <c r="D672" s="413"/>
    </row>
    <row r="673" spans="2:4">
      <c r="B673" s="414"/>
      <c r="D673" s="413"/>
    </row>
    <row r="674" spans="2:4">
      <c r="B674" s="414"/>
      <c r="D674" s="413"/>
    </row>
    <row r="675" spans="2:4">
      <c r="B675" s="414"/>
      <c r="D675" s="413"/>
    </row>
    <row r="676" spans="2:4">
      <c r="B676" s="414"/>
      <c r="D676" s="413"/>
    </row>
    <row r="677" spans="2:4">
      <c r="B677" s="414"/>
      <c r="D677" s="413"/>
    </row>
    <row r="678" spans="2:4">
      <c r="B678" s="414"/>
      <c r="D678" s="413"/>
    </row>
    <row r="679" spans="2:4">
      <c r="B679" s="414"/>
      <c r="D679" s="413"/>
    </row>
    <row r="680" spans="2:4">
      <c r="B680" s="414"/>
      <c r="D680" s="413"/>
    </row>
    <row r="681" spans="2:4">
      <c r="B681" s="414"/>
      <c r="D681" s="413"/>
    </row>
    <row r="682" spans="2:4">
      <c r="B682" s="414"/>
      <c r="D682" s="413"/>
    </row>
    <row r="683" spans="2:4">
      <c r="B683" s="414"/>
      <c r="D683" s="413"/>
    </row>
    <row r="684" spans="2:4">
      <c r="B684" s="414"/>
      <c r="D684" s="413"/>
    </row>
    <row r="685" spans="2:4">
      <c r="B685" s="414"/>
      <c r="D685" s="413"/>
    </row>
    <row r="686" spans="2:4">
      <c r="B686" s="414"/>
      <c r="D686" s="413"/>
    </row>
    <row r="687" spans="2:4">
      <c r="B687" s="414"/>
      <c r="D687" s="413"/>
    </row>
    <row r="688" spans="2:4">
      <c r="B688" s="414"/>
      <c r="D688" s="413"/>
    </row>
    <row r="689" spans="2:4">
      <c r="B689" s="414"/>
      <c r="D689" s="413"/>
    </row>
    <row r="690" spans="2:4">
      <c r="B690" s="414"/>
      <c r="D690" s="413"/>
    </row>
    <row r="691" spans="2:4">
      <c r="B691" s="414"/>
      <c r="D691" s="413"/>
    </row>
    <row r="692" spans="2:4">
      <c r="B692" s="414"/>
      <c r="D692" s="413"/>
    </row>
    <row r="693" spans="2:4">
      <c r="B693" s="414"/>
      <c r="D693" s="413"/>
    </row>
    <row r="694" spans="2:4">
      <c r="B694" s="414"/>
      <c r="D694" s="413"/>
    </row>
    <row r="695" spans="2:4">
      <c r="B695" s="414"/>
      <c r="D695" s="413"/>
    </row>
    <row r="696" spans="2:4">
      <c r="B696" s="414"/>
      <c r="D696" s="413"/>
    </row>
    <row r="697" spans="2:4">
      <c r="B697" s="414"/>
      <c r="D697" s="413"/>
    </row>
    <row r="698" spans="2:4">
      <c r="B698" s="414"/>
      <c r="D698" s="413"/>
    </row>
    <row r="699" spans="2:4">
      <c r="B699" s="414"/>
      <c r="D699" s="413"/>
    </row>
    <row r="700" spans="2:4">
      <c r="B700" s="414"/>
      <c r="D700" s="413"/>
    </row>
    <row r="701" spans="2:4">
      <c r="B701" s="414"/>
      <c r="D701" s="413"/>
    </row>
    <row r="702" spans="2:4">
      <c r="B702" s="414"/>
      <c r="D702" s="413"/>
    </row>
    <row r="703" spans="2:4">
      <c r="B703" s="414"/>
      <c r="D703" s="413"/>
    </row>
    <row r="704" spans="2:4">
      <c r="B704" s="414"/>
      <c r="D704" s="413"/>
    </row>
    <row r="705" spans="2:4">
      <c r="B705" s="414"/>
      <c r="D705" s="413"/>
    </row>
    <row r="706" spans="2:4">
      <c r="B706" s="414"/>
      <c r="D706" s="413"/>
    </row>
    <row r="707" spans="2:4">
      <c r="B707" s="414"/>
      <c r="D707" s="413"/>
    </row>
    <row r="708" spans="2:4">
      <c r="B708" s="414"/>
      <c r="D708" s="413"/>
    </row>
    <row r="709" spans="2:4">
      <c r="B709" s="414"/>
      <c r="D709" s="413"/>
    </row>
    <row r="710" spans="2:4">
      <c r="B710" s="414"/>
      <c r="D710" s="413"/>
    </row>
    <row r="711" spans="2:4">
      <c r="B711" s="414"/>
      <c r="D711" s="413"/>
    </row>
    <row r="712" spans="2:4">
      <c r="B712" s="414"/>
      <c r="D712" s="413"/>
    </row>
    <row r="713" spans="2:4">
      <c r="B713" s="414"/>
      <c r="D713" s="413"/>
    </row>
    <row r="714" spans="2:4">
      <c r="B714" s="414"/>
      <c r="D714" s="413"/>
    </row>
    <row r="715" spans="2:4">
      <c r="B715" s="414"/>
      <c r="D715" s="413"/>
    </row>
    <row r="716" spans="2:4">
      <c r="B716" s="414"/>
      <c r="D716" s="413"/>
    </row>
    <row r="717" spans="2:4">
      <c r="B717" s="414"/>
      <c r="D717" s="413"/>
    </row>
    <row r="718" spans="2:4">
      <c r="B718" s="414"/>
      <c r="D718" s="413"/>
    </row>
    <row r="719" spans="2:4">
      <c r="B719" s="414"/>
      <c r="D719" s="413"/>
    </row>
    <row r="720" spans="2:4">
      <c r="B720" s="414"/>
      <c r="D720" s="413"/>
    </row>
    <row r="721" spans="2:4">
      <c r="B721" s="414"/>
      <c r="D721" s="413"/>
    </row>
    <row r="722" spans="2:4">
      <c r="B722" s="414"/>
      <c r="D722" s="413"/>
    </row>
    <row r="723" spans="2:4">
      <c r="B723" s="414"/>
      <c r="D723" s="413"/>
    </row>
    <row r="724" spans="2:4">
      <c r="B724" s="414"/>
      <c r="D724" s="413"/>
    </row>
    <row r="725" spans="2:4">
      <c r="B725" s="414"/>
      <c r="D725" s="413"/>
    </row>
    <row r="726" spans="2:4">
      <c r="B726" s="414"/>
      <c r="D726" s="413"/>
    </row>
    <row r="727" spans="2:4">
      <c r="B727" s="414"/>
      <c r="D727" s="413"/>
    </row>
    <row r="728" spans="2:4">
      <c r="B728" s="414"/>
      <c r="D728" s="413"/>
    </row>
    <row r="729" spans="2:4">
      <c r="B729" s="414"/>
      <c r="D729" s="413"/>
    </row>
    <row r="730" spans="2:4">
      <c r="B730" s="414"/>
      <c r="D730" s="413"/>
    </row>
    <row r="731" spans="2:4">
      <c r="B731" s="414"/>
      <c r="D731" s="413"/>
    </row>
    <row r="732" spans="2:4">
      <c r="B732" s="414"/>
      <c r="D732" s="413"/>
    </row>
    <row r="733" spans="2:4">
      <c r="B733" s="414"/>
      <c r="D733" s="413"/>
    </row>
    <row r="734" spans="2:4">
      <c r="B734" s="414"/>
      <c r="D734" s="413"/>
    </row>
    <row r="735" spans="2:4">
      <c r="B735" s="414"/>
      <c r="D735" s="413"/>
    </row>
    <row r="736" spans="2:4">
      <c r="B736" s="414"/>
      <c r="D736" s="413"/>
    </row>
    <row r="737" spans="2:4">
      <c r="B737" s="414"/>
      <c r="D737" s="413"/>
    </row>
    <row r="738" spans="2:4">
      <c r="B738" s="414"/>
      <c r="D738" s="413"/>
    </row>
    <row r="739" spans="2:4">
      <c r="B739" s="414"/>
      <c r="D739" s="413"/>
    </row>
    <row r="740" spans="2:4">
      <c r="B740" s="414"/>
      <c r="D740" s="413"/>
    </row>
    <row r="741" spans="2:4">
      <c r="B741" s="414"/>
      <c r="D741" s="413"/>
    </row>
    <row r="742" spans="2:4">
      <c r="B742" s="414"/>
      <c r="D742" s="413"/>
    </row>
    <row r="743" spans="2:4">
      <c r="B743" s="414"/>
      <c r="D743" s="413"/>
    </row>
    <row r="744" spans="2:4">
      <c r="B744" s="414"/>
      <c r="D744" s="413"/>
    </row>
    <row r="745" spans="2:4">
      <c r="B745" s="414"/>
      <c r="D745" s="413"/>
    </row>
    <row r="746" spans="2:4">
      <c r="B746" s="414"/>
      <c r="D746" s="413"/>
    </row>
    <row r="747" spans="2:4">
      <c r="B747" s="414"/>
      <c r="D747" s="413"/>
    </row>
    <row r="748" spans="2:4">
      <c r="B748" s="414"/>
      <c r="D748" s="413"/>
    </row>
    <row r="749" spans="2:4">
      <c r="B749" s="414"/>
      <c r="D749" s="413"/>
    </row>
    <row r="750" spans="2:4">
      <c r="B750" s="414"/>
      <c r="D750" s="413"/>
    </row>
    <row r="751" spans="2:4">
      <c r="B751" s="414"/>
      <c r="D751" s="413"/>
    </row>
    <row r="752" spans="2:4">
      <c r="B752" s="414"/>
      <c r="D752" s="413"/>
    </row>
    <row r="753" spans="2:4">
      <c r="B753" s="414"/>
      <c r="D753" s="413"/>
    </row>
    <row r="754" spans="2:4">
      <c r="B754" s="414"/>
      <c r="D754" s="413"/>
    </row>
    <row r="755" spans="2:4">
      <c r="B755" s="414"/>
      <c r="D755" s="413"/>
    </row>
    <row r="756" spans="2:4">
      <c r="B756" s="414"/>
      <c r="D756" s="413"/>
    </row>
    <row r="757" spans="2:4">
      <c r="B757" s="414"/>
      <c r="D757" s="413"/>
    </row>
    <row r="758" spans="2:4">
      <c r="B758" s="414"/>
      <c r="D758" s="413"/>
    </row>
    <row r="759" spans="2:4">
      <c r="B759" s="414"/>
      <c r="D759" s="413"/>
    </row>
    <row r="760" spans="2:4">
      <c r="B760" s="414"/>
      <c r="D760" s="413"/>
    </row>
    <row r="761" spans="2:4">
      <c r="B761" s="414"/>
      <c r="D761" s="413"/>
    </row>
    <row r="762" spans="2:4">
      <c r="B762" s="414"/>
      <c r="D762" s="413"/>
    </row>
    <row r="763" spans="2:4">
      <c r="B763" s="414"/>
      <c r="D763" s="413"/>
    </row>
    <row r="764" spans="2:4">
      <c r="B764" s="414"/>
      <c r="D764" s="413"/>
    </row>
    <row r="765" spans="2:4">
      <c r="B765" s="414"/>
      <c r="D765" s="413"/>
    </row>
    <row r="766" spans="2:4">
      <c r="B766" s="414"/>
      <c r="D766" s="413"/>
    </row>
    <row r="767" spans="2:4">
      <c r="B767" s="414"/>
      <c r="D767" s="413"/>
    </row>
    <row r="768" spans="2:4">
      <c r="B768" s="414"/>
      <c r="D768" s="413"/>
    </row>
    <row r="769" spans="2:4">
      <c r="B769" s="414"/>
      <c r="D769" s="413"/>
    </row>
    <row r="770" spans="2:4">
      <c r="B770" s="414"/>
      <c r="D770" s="413"/>
    </row>
    <row r="771" spans="2:4">
      <c r="B771" s="414"/>
      <c r="D771" s="413"/>
    </row>
    <row r="772" spans="2:4">
      <c r="B772" s="414"/>
      <c r="D772" s="413"/>
    </row>
    <row r="773" spans="2:4">
      <c r="B773" s="414"/>
      <c r="D773" s="413"/>
    </row>
    <row r="774" spans="2:4">
      <c r="B774" s="414"/>
      <c r="D774" s="413"/>
    </row>
    <row r="775" spans="2:4">
      <c r="B775" s="414"/>
      <c r="D775" s="413"/>
    </row>
    <row r="776" spans="2:4">
      <c r="B776" s="414"/>
      <c r="D776" s="413"/>
    </row>
    <row r="777" spans="2:4">
      <c r="B777" s="414"/>
      <c r="D777" s="413"/>
    </row>
    <row r="778" spans="2:4">
      <c r="B778" s="414"/>
      <c r="D778" s="413"/>
    </row>
    <row r="779" spans="2:4">
      <c r="B779" s="414"/>
      <c r="D779" s="413"/>
    </row>
    <row r="780" spans="2:4">
      <c r="B780" s="414"/>
      <c r="D780" s="413"/>
    </row>
    <row r="781" spans="2:4">
      <c r="B781" s="414"/>
      <c r="D781" s="413"/>
    </row>
    <row r="782" spans="2:4">
      <c r="B782" s="414"/>
      <c r="D782" s="413"/>
    </row>
    <row r="783" spans="2:4">
      <c r="B783" s="414"/>
      <c r="D783" s="413"/>
    </row>
    <row r="784" spans="2:4">
      <c r="B784" s="414"/>
      <c r="D784" s="413"/>
    </row>
    <row r="785" spans="2:4">
      <c r="B785" s="414"/>
      <c r="D785" s="413"/>
    </row>
    <row r="786" spans="2:4">
      <c r="B786" s="414"/>
      <c r="D786" s="413"/>
    </row>
    <row r="787" spans="2:4">
      <c r="B787" s="414"/>
      <c r="D787" s="413"/>
    </row>
    <row r="788" spans="2:4">
      <c r="B788" s="414"/>
      <c r="D788" s="413"/>
    </row>
    <row r="789" spans="2:4">
      <c r="B789" s="414"/>
      <c r="D789" s="413"/>
    </row>
    <row r="790" spans="2:4">
      <c r="B790" s="414"/>
      <c r="D790" s="413"/>
    </row>
    <row r="791" spans="2:4">
      <c r="B791" s="414"/>
      <c r="D791" s="413"/>
    </row>
    <row r="792" spans="2:4">
      <c r="B792" s="414"/>
      <c r="D792" s="413"/>
    </row>
    <row r="793" spans="2:4">
      <c r="B793" s="414"/>
      <c r="D793" s="413"/>
    </row>
    <row r="794" spans="2:4">
      <c r="B794" s="414"/>
      <c r="D794" s="413"/>
    </row>
    <row r="795" spans="2:4">
      <c r="B795" s="414"/>
      <c r="D795" s="413"/>
    </row>
    <row r="796" spans="2:4">
      <c r="B796" s="414"/>
      <c r="D796" s="413"/>
    </row>
    <row r="797" spans="2:4">
      <c r="B797" s="414"/>
      <c r="D797" s="413"/>
    </row>
    <row r="798" spans="2:4">
      <c r="B798" s="414"/>
      <c r="D798" s="413"/>
    </row>
    <row r="799" spans="2:4">
      <c r="B799" s="414"/>
      <c r="D799" s="413"/>
    </row>
    <row r="800" spans="2:4">
      <c r="B800" s="414"/>
      <c r="D800" s="413"/>
    </row>
    <row r="801" spans="2:4">
      <c r="B801" s="414"/>
      <c r="D801" s="413"/>
    </row>
    <row r="802" spans="2:4">
      <c r="B802" s="414"/>
      <c r="D802" s="413"/>
    </row>
    <row r="803" spans="2:4">
      <c r="B803" s="414"/>
      <c r="D803" s="413"/>
    </row>
    <row r="804" spans="2:4">
      <c r="B804" s="414"/>
      <c r="D804" s="413"/>
    </row>
    <row r="805" spans="2:4">
      <c r="B805" s="414"/>
      <c r="D805" s="413"/>
    </row>
    <row r="806" spans="2:4">
      <c r="B806" s="414"/>
      <c r="D806" s="413"/>
    </row>
    <row r="807" spans="2:4">
      <c r="B807" s="414"/>
      <c r="D807" s="413"/>
    </row>
    <row r="808" spans="2:4">
      <c r="B808" s="414"/>
      <c r="D808" s="413"/>
    </row>
    <row r="809" spans="2:4">
      <c r="B809" s="414"/>
      <c r="D809" s="413"/>
    </row>
    <row r="810" spans="2:4">
      <c r="B810" s="414"/>
      <c r="D810" s="413"/>
    </row>
    <row r="811" spans="2:4">
      <c r="B811" s="414"/>
      <c r="D811" s="413"/>
    </row>
    <row r="812" spans="2:4">
      <c r="B812" s="414"/>
      <c r="D812" s="413"/>
    </row>
    <row r="813" spans="2:4">
      <c r="B813" s="414"/>
      <c r="D813" s="413"/>
    </row>
    <row r="814" spans="2:4">
      <c r="B814" s="414"/>
      <c r="D814" s="413"/>
    </row>
    <row r="815" spans="2:4">
      <c r="B815" s="414"/>
      <c r="D815" s="413"/>
    </row>
    <row r="816" spans="2:4">
      <c r="B816" s="414"/>
      <c r="D816" s="413"/>
    </row>
    <row r="817" spans="2:4">
      <c r="B817" s="414"/>
      <c r="D817" s="413"/>
    </row>
    <row r="818" spans="2:4">
      <c r="B818" s="414"/>
      <c r="D818" s="413"/>
    </row>
    <row r="819" spans="2:4">
      <c r="B819" s="414"/>
      <c r="D819" s="413"/>
    </row>
    <row r="820" spans="2:4">
      <c r="B820" s="414"/>
      <c r="D820" s="413"/>
    </row>
    <row r="821" spans="2:4">
      <c r="B821" s="414"/>
      <c r="D821" s="413"/>
    </row>
    <row r="822" spans="2:4">
      <c r="B822" s="414"/>
      <c r="D822" s="413"/>
    </row>
    <row r="823" spans="2:4">
      <c r="B823" s="414"/>
      <c r="D823" s="413"/>
    </row>
    <row r="824" spans="2:4">
      <c r="B824" s="414"/>
      <c r="D824" s="413"/>
    </row>
    <row r="825" spans="2:4">
      <c r="B825" s="414"/>
      <c r="D825" s="413"/>
    </row>
    <row r="826" spans="2:4">
      <c r="B826" s="414"/>
      <c r="D826" s="413"/>
    </row>
    <row r="827" spans="2:4">
      <c r="B827" s="414"/>
      <c r="D827" s="413"/>
    </row>
    <row r="828" spans="2:4">
      <c r="B828" s="414"/>
      <c r="D828" s="413"/>
    </row>
    <row r="829" spans="2:4">
      <c r="B829" s="414"/>
      <c r="D829" s="413"/>
    </row>
    <row r="830" spans="2:4">
      <c r="B830" s="414"/>
      <c r="D830" s="413"/>
    </row>
    <row r="831" spans="2:4">
      <c r="B831" s="414"/>
      <c r="D831" s="413"/>
    </row>
    <row r="832" spans="2:4">
      <c r="B832" s="414"/>
      <c r="D832" s="413"/>
    </row>
    <row r="833" spans="2:4">
      <c r="B833" s="414"/>
      <c r="D833" s="413"/>
    </row>
    <row r="834" spans="2:4">
      <c r="B834" s="414"/>
      <c r="D834" s="413"/>
    </row>
    <row r="835" spans="2:4">
      <c r="B835" s="414"/>
      <c r="D835" s="413"/>
    </row>
    <row r="836" spans="2:4">
      <c r="B836" s="414"/>
      <c r="D836" s="413"/>
    </row>
    <row r="837" spans="2:4">
      <c r="B837" s="414"/>
      <c r="D837" s="413"/>
    </row>
    <row r="838" spans="2:4">
      <c r="B838" s="414"/>
      <c r="D838" s="413"/>
    </row>
    <row r="839" spans="2:4">
      <c r="B839" s="414"/>
      <c r="D839" s="413"/>
    </row>
    <row r="840" spans="2:4">
      <c r="B840" s="414"/>
      <c r="D840" s="413"/>
    </row>
    <row r="841" spans="2:4">
      <c r="B841" s="414"/>
      <c r="D841" s="413"/>
    </row>
    <row r="842" spans="2:4">
      <c r="B842" s="414"/>
      <c r="D842" s="413"/>
    </row>
    <row r="843" spans="2:4">
      <c r="B843" s="414"/>
      <c r="D843" s="413"/>
    </row>
    <row r="844" spans="2:4">
      <c r="B844" s="414"/>
      <c r="D844" s="413"/>
    </row>
    <row r="845" spans="2:4">
      <c r="B845" s="414"/>
      <c r="D845" s="413"/>
    </row>
    <row r="846" spans="2:4">
      <c r="B846" s="414"/>
      <c r="D846" s="413"/>
    </row>
    <row r="847" spans="2:4">
      <c r="B847" s="414"/>
      <c r="D847" s="413"/>
    </row>
    <row r="848" spans="2:4">
      <c r="B848" s="414"/>
      <c r="D848" s="413"/>
    </row>
    <row r="849" spans="2:4">
      <c r="B849" s="414"/>
      <c r="D849" s="413"/>
    </row>
    <row r="850" spans="2:4">
      <c r="B850" s="414"/>
      <c r="D850" s="413"/>
    </row>
    <row r="851" spans="2:4">
      <c r="B851" s="414"/>
      <c r="D851" s="413"/>
    </row>
    <row r="852" spans="2:4">
      <c r="B852" s="414"/>
      <c r="D852" s="413"/>
    </row>
    <row r="853" spans="2:4">
      <c r="B853" s="414"/>
      <c r="D853" s="413"/>
    </row>
    <row r="854" spans="2:4">
      <c r="B854" s="414"/>
      <c r="D854" s="413"/>
    </row>
    <row r="855" spans="2:4">
      <c r="B855" s="414"/>
      <c r="D855" s="413"/>
    </row>
    <row r="856" spans="2:4">
      <c r="B856" s="414"/>
      <c r="D856" s="413"/>
    </row>
    <row r="857" spans="2:4">
      <c r="B857" s="414"/>
      <c r="D857" s="413"/>
    </row>
    <row r="858" spans="2:4">
      <c r="B858" s="414"/>
      <c r="D858" s="413"/>
    </row>
    <row r="859" spans="2:4">
      <c r="B859" s="414"/>
      <c r="D859" s="413"/>
    </row>
    <row r="860" spans="2:4">
      <c r="B860" s="414"/>
      <c r="D860" s="413"/>
    </row>
    <row r="861" spans="2:4">
      <c r="B861" s="414"/>
      <c r="D861" s="413"/>
    </row>
    <row r="862" spans="2:4">
      <c r="B862" s="414"/>
      <c r="D862" s="413"/>
    </row>
    <row r="863" spans="2:4">
      <c r="B863" s="414"/>
      <c r="D863" s="413"/>
    </row>
    <row r="864" spans="2:4">
      <c r="B864" s="414"/>
      <c r="D864" s="413"/>
    </row>
    <row r="865" spans="2:4">
      <c r="B865" s="414"/>
      <c r="D865" s="413"/>
    </row>
    <row r="866" spans="2:4">
      <c r="B866" s="414"/>
      <c r="D866" s="413"/>
    </row>
    <row r="867" spans="2:4">
      <c r="B867" s="414"/>
      <c r="D867" s="413"/>
    </row>
    <row r="868" spans="2:4">
      <c r="B868" s="414"/>
      <c r="D868" s="413"/>
    </row>
    <row r="869" spans="2:4">
      <c r="B869" s="414"/>
      <c r="D869" s="413"/>
    </row>
    <row r="870" spans="2:4">
      <c r="B870" s="414"/>
      <c r="D870" s="413"/>
    </row>
    <row r="871" spans="2:4">
      <c r="B871" s="414"/>
      <c r="D871" s="413"/>
    </row>
    <row r="872" spans="2:4">
      <c r="B872" s="414"/>
      <c r="D872" s="413"/>
    </row>
    <row r="873" spans="2:4">
      <c r="B873" s="414"/>
      <c r="D873" s="413"/>
    </row>
    <row r="874" spans="2:4">
      <c r="B874" s="414"/>
      <c r="D874" s="413"/>
    </row>
    <row r="875" spans="2:4">
      <c r="B875" s="414"/>
      <c r="D875" s="413"/>
    </row>
    <row r="876" spans="2:4">
      <c r="B876" s="414"/>
      <c r="D876" s="413"/>
    </row>
    <row r="877" spans="2:4">
      <c r="B877" s="414"/>
      <c r="D877" s="413"/>
    </row>
    <row r="878" spans="2:4">
      <c r="B878" s="414"/>
      <c r="D878" s="413"/>
    </row>
    <row r="879" spans="2:4">
      <c r="B879" s="414"/>
      <c r="D879" s="413"/>
    </row>
    <row r="880" spans="2:4">
      <c r="B880" s="414"/>
      <c r="D880" s="413"/>
    </row>
    <row r="881" spans="2:4">
      <c r="B881" s="414"/>
      <c r="D881" s="413"/>
    </row>
    <row r="882" spans="2:4">
      <c r="B882" s="414"/>
      <c r="D882" s="413"/>
    </row>
    <row r="883" spans="2:4">
      <c r="B883" s="414"/>
      <c r="D883" s="413"/>
    </row>
    <row r="884" spans="2:4">
      <c r="B884" s="414"/>
      <c r="D884" s="413"/>
    </row>
    <row r="885" spans="2:4">
      <c r="B885" s="414"/>
      <c r="D885" s="413"/>
    </row>
    <row r="886" spans="2:4">
      <c r="B886" s="414"/>
      <c r="D886" s="413"/>
    </row>
    <row r="887" spans="2:4">
      <c r="B887" s="414"/>
      <c r="D887" s="413"/>
    </row>
    <row r="888" spans="2:4">
      <c r="B888" s="414"/>
      <c r="D888" s="413"/>
    </row>
    <row r="889" spans="2:4">
      <c r="B889" s="414"/>
      <c r="D889" s="413"/>
    </row>
    <row r="890" spans="2:4">
      <c r="B890" s="414"/>
      <c r="D890" s="413"/>
    </row>
    <row r="891" spans="2:4">
      <c r="B891" s="414"/>
      <c r="D891" s="413"/>
    </row>
    <row r="892" spans="2:4">
      <c r="B892" s="414"/>
      <c r="D892" s="413"/>
    </row>
    <row r="893" spans="2:4">
      <c r="B893" s="414"/>
      <c r="D893" s="413"/>
    </row>
    <row r="894" spans="2:4">
      <c r="B894" s="414"/>
      <c r="D894" s="413"/>
    </row>
    <row r="895" spans="2:4">
      <c r="B895" s="414"/>
      <c r="D895" s="413"/>
    </row>
    <row r="896" spans="2:4">
      <c r="B896" s="414"/>
      <c r="D896" s="413"/>
    </row>
    <row r="897" spans="2:4">
      <c r="B897" s="414"/>
      <c r="D897" s="413"/>
    </row>
    <row r="898" spans="2:4">
      <c r="B898" s="414"/>
      <c r="D898" s="413"/>
    </row>
    <row r="899" spans="2:4">
      <c r="B899" s="414"/>
      <c r="D899" s="413"/>
    </row>
    <row r="900" spans="2:4">
      <c r="B900" s="414"/>
      <c r="D900" s="413"/>
    </row>
    <row r="901" spans="2:4">
      <c r="B901" s="414"/>
      <c r="D901" s="413"/>
    </row>
    <row r="902" spans="2:4">
      <c r="B902" s="414"/>
      <c r="D902" s="413"/>
    </row>
    <row r="903" spans="2:4">
      <c r="B903" s="414"/>
      <c r="D903" s="413"/>
    </row>
    <row r="904" spans="2:4">
      <c r="B904" s="414"/>
      <c r="D904" s="413"/>
    </row>
    <row r="905" spans="2:4">
      <c r="B905" s="414"/>
      <c r="D905" s="413"/>
    </row>
    <row r="906" spans="2:4">
      <c r="B906" s="414"/>
      <c r="D906" s="413"/>
    </row>
    <row r="907" spans="2:4">
      <c r="B907" s="414"/>
      <c r="D907" s="413"/>
    </row>
    <row r="908" spans="2:4">
      <c r="B908" s="414"/>
      <c r="D908" s="413"/>
    </row>
    <row r="909" spans="2:4">
      <c r="B909" s="414"/>
      <c r="D909" s="413"/>
    </row>
    <row r="910" spans="2:4">
      <c r="B910" s="414"/>
      <c r="D910" s="413"/>
    </row>
    <row r="911" spans="2:4">
      <c r="B911" s="414"/>
      <c r="D911" s="413"/>
    </row>
    <row r="912" spans="2:4">
      <c r="B912" s="414"/>
      <c r="D912" s="413"/>
    </row>
    <row r="913" spans="2:4">
      <c r="B913" s="414"/>
      <c r="D913" s="413"/>
    </row>
    <row r="914" spans="2:4">
      <c r="B914" s="414"/>
      <c r="D914" s="413"/>
    </row>
    <row r="915" spans="2:4">
      <c r="B915" s="414"/>
      <c r="D915" s="413"/>
    </row>
    <row r="916" spans="2:4">
      <c r="B916" s="414"/>
      <c r="D916" s="413"/>
    </row>
    <row r="917" spans="2:4">
      <c r="B917" s="414"/>
      <c r="D917" s="413"/>
    </row>
    <row r="918" spans="2:4">
      <c r="B918" s="414"/>
      <c r="D918" s="413"/>
    </row>
    <row r="919" spans="2:4">
      <c r="B919" s="414"/>
      <c r="D919" s="413"/>
    </row>
    <row r="920" spans="2:4">
      <c r="B920" s="414"/>
      <c r="D920" s="413"/>
    </row>
    <row r="921" spans="2:4">
      <c r="B921" s="414"/>
      <c r="D921" s="413"/>
    </row>
    <row r="922" spans="2:4">
      <c r="B922" s="414"/>
      <c r="D922" s="413"/>
    </row>
    <row r="923" spans="2:4">
      <c r="B923" s="414"/>
      <c r="D923" s="413"/>
    </row>
    <row r="924" spans="2:4">
      <c r="B924" s="414"/>
      <c r="D924" s="413"/>
    </row>
    <row r="925" spans="2:4">
      <c r="B925" s="414"/>
      <c r="D925" s="413"/>
    </row>
    <row r="926" spans="2:4">
      <c r="B926" s="414"/>
      <c r="D926" s="413"/>
    </row>
    <row r="927" spans="2:4">
      <c r="B927" s="414"/>
      <c r="D927" s="413"/>
    </row>
    <row r="928" spans="2:4">
      <c r="B928" s="414"/>
      <c r="D928" s="413"/>
    </row>
    <row r="929" spans="2:4">
      <c r="B929" s="414"/>
      <c r="D929" s="413"/>
    </row>
    <row r="930" spans="2:4">
      <c r="B930" s="414"/>
      <c r="D930" s="413"/>
    </row>
    <row r="931" spans="2:4">
      <c r="B931" s="414"/>
      <c r="D931" s="413"/>
    </row>
    <row r="932" spans="2:4">
      <c r="B932" s="414"/>
      <c r="D932" s="413"/>
    </row>
    <row r="933" spans="2:4">
      <c r="B933" s="414"/>
      <c r="D933" s="413"/>
    </row>
    <row r="934" spans="2:4">
      <c r="B934" s="414"/>
      <c r="D934" s="413"/>
    </row>
    <row r="935" spans="2:4">
      <c r="B935" s="414"/>
      <c r="D935" s="413"/>
    </row>
    <row r="936" spans="2:4">
      <c r="B936" s="414"/>
      <c r="D936" s="413"/>
    </row>
    <row r="937" spans="2:4">
      <c r="B937" s="414"/>
      <c r="D937" s="413"/>
    </row>
    <row r="938" spans="2:4">
      <c r="B938" s="414"/>
      <c r="D938" s="413"/>
    </row>
    <row r="939" spans="2:4">
      <c r="B939" s="414"/>
      <c r="D939" s="413"/>
    </row>
    <row r="940" spans="2:4">
      <c r="B940" s="414"/>
      <c r="D940" s="413"/>
    </row>
    <row r="941" spans="2:4">
      <c r="B941" s="414"/>
      <c r="D941" s="413"/>
    </row>
    <row r="942" spans="2:4">
      <c r="B942" s="414"/>
      <c r="D942" s="413"/>
    </row>
    <row r="943" spans="2:4">
      <c r="B943" s="414"/>
      <c r="D943" s="413"/>
    </row>
    <row r="944" spans="2:4">
      <c r="B944" s="414"/>
      <c r="D944" s="413"/>
    </row>
    <row r="945" spans="2:4">
      <c r="B945" s="414"/>
      <c r="D945" s="413"/>
    </row>
    <row r="946" spans="2:4">
      <c r="B946" s="414"/>
      <c r="D946" s="413"/>
    </row>
    <row r="947" spans="2:4">
      <c r="B947" s="414"/>
      <c r="D947" s="413"/>
    </row>
    <row r="948" spans="2:4">
      <c r="B948" s="414"/>
      <c r="D948" s="413"/>
    </row>
    <row r="949" spans="2:4">
      <c r="B949" s="414"/>
      <c r="D949" s="413"/>
    </row>
    <row r="950" spans="2:4">
      <c r="B950" s="414"/>
      <c r="D950" s="413"/>
    </row>
    <row r="951" spans="2:4">
      <c r="B951" s="414"/>
      <c r="D951" s="413"/>
    </row>
    <row r="952" spans="2:4">
      <c r="B952" s="414"/>
      <c r="D952" s="413"/>
    </row>
  </sheetData>
  <sheetProtection algorithmName="SHA-512" hashValue="WfqHn73jCeDcNeYfe8ZJN209j4YdhQP+hb7KWpHQ+pkQrGmGchcvIGPJVWiWb+nIfU2g31zw1GJA6E8hqfIBlw==" saltValue="aCcBnr7sjpF1pbAOWbHsiQ==" spinCount="100000" sheet="1" objects="1" scenarios="1"/>
  <mergeCells count="2">
    <mergeCell ref="C1:H1"/>
    <mergeCell ref="B15:H26"/>
  </mergeCells>
  <conditionalFormatting sqref="H4:H13">
    <cfRule type="containsText" dxfId="15" priority="1" operator="containsText" text="Alto">
      <formula>NOT(ISERROR(SEARCH("Alto",H4)))</formula>
    </cfRule>
    <cfRule type="containsText" dxfId="14" priority="2" operator="containsText" text="Médio">
      <formula>NOT(ISERROR(SEARCH("Médio",H4)))</formula>
    </cfRule>
    <cfRule type="containsText" dxfId="13" priority="3" operator="containsText" text="Baixo">
      <formula>NOT(ISERROR(SEARCH("Baixo",H4)))</formula>
    </cfRule>
  </conditionalFormatting>
  <dataValidations count="2">
    <dataValidation type="list" allowBlank="1" showInputMessage="1" showErrorMessage="1" sqref="C4:C13" xr:uid="{58C06201-0D72-48A0-B7B0-6C8F9B318356}">
      <formula1>"Operacional, Ambiental, Financeiro"</formula1>
    </dataValidation>
    <dataValidation type="list" allowBlank="1" showInputMessage="1" showErrorMessage="1" sqref="E4:F13" xr:uid="{93FE2B21-376D-467C-BB7A-CAB0BB787F1D}">
      <formula1>"1-Baixo,2-Médio,3-Alto"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687DE-FA2C-480C-AF90-D9B15E803042}">
  <sheetPr>
    <tabColor theme="0" tint="-0.34998626667073579"/>
  </sheetPr>
  <dimension ref="A1:AJ38"/>
  <sheetViews>
    <sheetView showGridLines="0" zoomScaleNormal="100" workbookViewId="0"/>
  </sheetViews>
  <sheetFormatPr defaultColWidth="8.7109375" defaultRowHeight="12"/>
  <cols>
    <col min="1" max="1" width="5.7109375" style="420" customWidth="1"/>
    <col min="2" max="2" width="28.28515625" style="210" customWidth="1"/>
    <col min="3" max="3" width="11.42578125" style="210" customWidth="1"/>
    <col min="4" max="4" width="14.5703125" style="210" customWidth="1"/>
    <col min="5" max="5" width="12.85546875" style="210" customWidth="1"/>
    <col min="6" max="7" width="13.28515625" style="210" customWidth="1"/>
    <col min="8" max="8" width="13.140625" style="210" customWidth="1"/>
    <col min="9" max="11" width="8.7109375" style="420"/>
    <col min="12" max="12" width="11.5703125" style="420" customWidth="1"/>
    <col min="13" max="13" width="14.140625" style="420" customWidth="1"/>
    <col min="14" max="16384" width="8.7109375" style="420"/>
  </cols>
  <sheetData>
    <row r="1" spans="1:36" s="4" customFormat="1" ht="25.5">
      <c r="A1" s="415"/>
      <c r="B1" s="2"/>
      <c r="C1" s="2"/>
      <c r="D1" s="416" t="s">
        <v>99</v>
      </c>
      <c r="E1" s="3"/>
      <c r="F1" s="3"/>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3" spans="1:36" ht="12.75" thickBot="1">
      <c r="A3" s="417"/>
      <c r="B3" s="418" t="s">
        <v>31</v>
      </c>
      <c r="C3" s="418" t="s">
        <v>0</v>
      </c>
      <c r="D3" s="419" t="s">
        <v>321</v>
      </c>
      <c r="E3" s="419" t="s">
        <v>362</v>
      </c>
      <c r="F3" s="419" t="s">
        <v>363</v>
      </c>
      <c r="G3" s="419" t="s">
        <v>364</v>
      </c>
      <c r="H3" s="419" t="s">
        <v>322</v>
      </c>
      <c r="M3" s="421" t="s">
        <v>431</v>
      </c>
      <c r="N3" s="421" t="s">
        <v>432</v>
      </c>
    </row>
    <row r="4" spans="1:36" ht="15">
      <c r="A4" s="417"/>
      <c r="B4" s="210" t="s">
        <v>323</v>
      </c>
      <c r="D4" s="422">
        <v>1</v>
      </c>
      <c r="E4" s="422">
        <v>0</v>
      </c>
      <c r="F4" s="422">
        <v>1</v>
      </c>
      <c r="G4" s="422">
        <v>1</v>
      </c>
      <c r="H4" s="422">
        <v>1</v>
      </c>
      <c r="I4"/>
      <c r="K4" s="417"/>
      <c r="L4" s="423" t="s">
        <v>426</v>
      </c>
      <c r="M4" s="424">
        <f>MAX('Premissas e Cálculos'!F177:AJ177)*1000/(365*24*3600)</f>
        <v>76.676560121765604</v>
      </c>
      <c r="N4" s="424">
        <f>M4*1.2*1.5</f>
        <v>138.01780821917808</v>
      </c>
      <c r="O4" s="425"/>
      <c r="P4" s="425"/>
      <c r="Q4" s="417"/>
    </row>
    <row r="5" spans="1:36" ht="15">
      <c r="A5" s="417"/>
      <c r="B5" s="210" t="s">
        <v>367</v>
      </c>
      <c r="C5" s="426" t="s">
        <v>374</v>
      </c>
      <c r="D5" s="427">
        <v>1</v>
      </c>
      <c r="E5" s="427">
        <v>3</v>
      </c>
      <c r="F5" s="427">
        <v>4</v>
      </c>
      <c r="G5" s="427">
        <v>5</v>
      </c>
      <c r="H5" s="427">
        <v>6</v>
      </c>
      <c r="I5"/>
      <c r="K5" s="417"/>
      <c r="L5" s="423" t="s">
        <v>427</v>
      </c>
      <c r="M5" s="424">
        <f>MAX('Premissas e Cálculos'!F178:AJ178)*1000/(365*24*3600)</f>
        <v>0</v>
      </c>
      <c r="N5" s="424">
        <f t="shared" ref="N5:N8" si="0">M5*1.2*1.5</f>
        <v>0</v>
      </c>
      <c r="O5" s="428"/>
      <c r="P5" s="428"/>
      <c r="Q5" s="417"/>
    </row>
    <row r="6" spans="1:36" ht="15" customHeight="1">
      <c r="A6" s="417"/>
      <c r="B6" s="210" t="s">
        <v>368</v>
      </c>
      <c r="C6" s="426" t="s">
        <v>15</v>
      </c>
      <c r="D6" s="429">
        <v>2</v>
      </c>
      <c r="E6" s="429">
        <v>2</v>
      </c>
      <c r="F6" s="429">
        <v>2</v>
      </c>
      <c r="G6" s="429">
        <v>2</v>
      </c>
      <c r="H6" s="429">
        <v>2</v>
      </c>
      <c r="I6"/>
      <c r="K6" s="417"/>
      <c r="L6" s="423" t="s">
        <v>428</v>
      </c>
      <c r="M6" s="424">
        <f>MAX('Premissas e Cálculos'!F179:AJ179)*1000/(365*24*3600)</f>
        <v>125.60781329274479</v>
      </c>
      <c r="N6" s="424">
        <f t="shared" si="0"/>
        <v>226.09406392694063</v>
      </c>
      <c r="O6" s="417"/>
      <c r="P6" s="417"/>
      <c r="Q6" s="417"/>
    </row>
    <row r="7" spans="1:36" ht="12.6" customHeight="1">
      <c r="A7" s="417"/>
      <c r="B7" s="210" t="s">
        <v>324</v>
      </c>
      <c r="C7" s="426" t="s">
        <v>374</v>
      </c>
      <c r="D7" s="427">
        <f>D5+D6</f>
        <v>3</v>
      </c>
      <c r="E7" s="427">
        <f t="shared" ref="E7:H7" si="1">E5+E6</f>
        <v>5</v>
      </c>
      <c r="F7" s="427">
        <f>F5+F6</f>
        <v>6</v>
      </c>
      <c r="G7" s="427">
        <f t="shared" si="1"/>
        <v>7</v>
      </c>
      <c r="H7" s="427">
        <f t="shared" si="1"/>
        <v>8</v>
      </c>
      <c r="L7" s="423" t="s">
        <v>429</v>
      </c>
      <c r="M7" s="424">
        <f>MAX('Premissas e Cálculos'!F180:AJ180)*1000/(365*24*3600)</f>
        <v>58.079654997463216</v>
      </c>
      <c r="N7" s="424">
        <f t="shared" si="0"/>
        <v>104.54337899543378</v>
      </c>
    </row>
    <row r="8" spans="1:36" ht="12.6" customHeight="1">
      <c r="A8" s="417"/>
      <c r="B8" s="210" t="s">
        <v>418</v>
      </c>
      <c r="C8" s="426" t="s">
        <v>15</v>
      </c>
      <c r="D8" s="430">
        <v>2</v>
      </c>
      <c r="E8" s="430">
        <v>2</v>
      </c>
      <c r="F8" s="430">
        <v>2</v>
      </c>
      <c r="G8" s="430">
        <v>2</v>
      </c>
      <c r="H8" s="430">
        <v>2</v>
      </c>
      <c r="L8" s="423" t="s">
        <v>430</v>
      </c>
      <c r="M8" s="424">
        <f>MAX('Premissas e Cálculos'!F181:AJ181)*1000/(365*24*3600)</f>
        <v>41.840690005073569</v>
      </c>
      <c r="N8" s="424">
        <f t="shared" si="0"/>
        <v>75.313242009132424</v>
      </c>
    </row>
    <row r="9" spans="1:36" ht="12.6" customHeight="1">
      <c r="A9" s="417"/>
      <c r="B9" s="210" t="s">
        <v>419</v>
      </c>
      <c r="C9" s="426" t="s">
        <v>15</v>
      </c>
      <c r="D9" s="430">
        <v>2</v>
      </c>
      <c r="E9" s="430">
        <v>2</v>
      </c>
      <c r="F9" s="430">
        <v>2</v>
      </c>
      <c r="G9" s="430">
        <v>2</v>
      </c>
      <c r="H9" s="430">
        <v>2</v>
      </c>
    </row>
    <row r="10" spans="1:36">
      <c r="A10" s="417"/>
      <c r="B10" s="431" t="s">
        <v>369</v>
      </c>
      <c r="D10" s="377"/>
      <c r="E10" s="377"/>
      <c r="F10" s="377"/>
      <c r="G10" s="377"/>
      <c r="H10" s="377"/>
    </row>
    <row r="11" spans="1:36">
      <c r="A11" s="417"/>
      <c r="B11" s="431" t="s">
        <v>395</v>
      </c>
      <c r="D11" s="377"/>
      <c r="E11" s="377"/>
      <c r="F11" s="377"/>
      <c r="G11" s="377"/>
      <c r="H11" s="377"/>
    </row>
    <row r="12" spans="1:36">
      <c r="A12" s="417"/>
      <c r="B12" s="211" t="s">
        <v>396</v>
      </c>
      <c r="C12" s="426" t="s">
        <v>371</v>
      </c>
      <c r="D12" s="432">
        <v>32683</v>
      </c>
      <c r="E12" s="432">
        <v>32683</v>
      </c>
      <c r="F12" s="432">
        <v>32683</v>
      </c>
      <c r="G12" s="432">
        <v>32683</v>
      </c>
      <c r="H12" s="432">
        <v>32683</v>
      </c>
    </row>
    <row r="13" spans="1:36" ht="12.6" customHeight="1">
      <c r="A13" s="417"/>
      <c r="B13" s="211" t="s">
        <v>397</v>
      </c>
      <c r="C13" s="426" t="s">
        <v>3</v>
      </c>
      <c r="D13" s="433">
        <v>0.5</v>
      </c>
      <c r="E13" s="433">
        <v>0.5</v>
      </c>
      <c r="F13" s="433">
        <v>0.5</v>
      </c>
      <c r="G13" s="433">
        <v>0.5</v>
      </c>
      <c r="H13" s="433">
        <v>0.5</v>
      </c>
    </row>
    <row r="14" spans="1:36">
      <c r="A14" s="417"/>
      <c r="B14" s="211" t="s">
        <v>401</v>
      </c>
      <c r="C14" s="426" t="s">
        <v>371</v>
      </c>
      <c r="D14" s="434">
        <f>D12*D13</f>
        <v>16341.5</v>
      </c>
      <c r="E14" s="434">
        <f t="shared" ref="E14:H14" si="2">E12*E13</f>
        <v>16341.5</v>
      </c>
      <c r="F14" s="434">
        <f t="shared" si="2"/>
        <v>16341.5</v>
      </c>
      <c r="G14" s="434">
        <f t="shared" si="2"/>
        <v>16341.5</v>
      </c>
      <c r="H14" s="434">
        <f t="shared" si="2"/>
        <v>16341.5</v>
      </c>
    </row>
    <row r="15" spans="1:36">
      <c r="A15" s="417"/>
      <c r="B15" s="211" t="s">
        <v>414</v>
      </c>
      <c r="C15" s="426" t="s">
        <v>408</v>
      </c>
      <c r="D15" s="432">
        <v>27</v>
      </c>
      <c r="E15" s="432">
        <v>7</v>
      </c>
      <c r="F15" s="432">
        <v>50</v>
      </c>
      <c r="G15" s="432">
        <v>61</v>
      </c>
      <c r="H15" s="432">
        <v>16</v>
      </c>
    </row>
    <row r="16" spans="1:36">
      <c r="A16" s="417"/>
      <c r="B16" s="211" t="s">
        <v>416</v>
      </c>
      <c r="C16" s="426" t="s">
        <v>3</v>
      </c>
      <c r="D16" s="433">
        <v>0.3</v>
      </c>
      <c r="E16" s="433">
        <v>0.6</v>
      </c>
      <c r="F16" s="433">
        <v>0.3</v>
      </c>
      <c r="G16" s="433">
        <v>0.1</v>
      </c>
      <c r="H16" s="433">
        <v>0.3</v>
      </c>
    </row>
    <row r="17" spans="1:13">
      <c r="A17" s="417"/>
      <c r="B17" s="211" t="s">
        <v>402</v>
      </c>
      <c r="C17" s="426" t="s">
        <v>408</v>
      </c>
      <c r="D17" s="432">
        <f>ROUNDUP(D15*D16,0)</f>
        <v>9</v>
      </c>
      <c r="E17" s="432">
        <f t="shared" ref="E17:H17" si="3">ROUNDUP(E15*E16,0)</f>
        <v>5</v>
      </c>
      <c r="F17" s="432">
        <f t="shared" si="3"/>
        <v>15</v>
      </c>
      <c r="G17" s="432">
        <f t="shared" si="3"/>
        <v>7</v>
      </c>
      <c r="H17" s="432">
        <f t="shared" si="3"/>
        <v>5</v>
      </c>
    </row>
    <row r="18" spans="1:13">
      <c r="A18" s="417"/>
      <c r="B18" s="431" t="s">
        <v>398</v>
      </c>
      <c r="C18" s="435"/>
      <c r="D18" s="436"/>
      <c r="E18" s="436"/>
      <c r="F18" s="436"/>
      <c r="G18" s="436"/>
      <c r="H18" s="436"/>
    </row>
    <row r="19" spans="1:13">
      <c r="A19" s="417"/>
      <c r="B19" s="211" t="s">
        <v>399</v>
      </c>
      <c r="C19" s="426" t="s">
        <v>371</v>
      </c>
      <c r="D19" s="432">
        <v>169</v>
      </c>
      <c r="E19" s="432">
        <v>169</v>
      </c>
      <c r="F19" s="432">
        <v>169</v>
      </c>
      <c r="G19" s="432">
        <v>169</v>
      </c>
      <c r="H19" s="432">
        <v>169</v>
      </c>
    </row>
    <row r="20" spans="1:13">
      <c r="A20" s="417"/>
      <c r="B20" s="211" t="s">
        <v>400</v>
      </c>
      <c r="C20" s="426" t="s">
        <v>3</v>
      </c>
      <c r="D20" s="433">
        <v>0.5</v>
      </c>
      <c r="E20" s="433">
        <v>0.5</v>
      </c>
      <c r="F20" s="433">
        <v>0.5</v>
      </c>
      <c r="G20" s="433">
        <v>0.5</v>
      </c>
      <c r="H20" s="433">
        <v>0.5</v>
      </c>
    </row>
    <row r="21" spans="1:13">
      <c r="A21" s="417"/>
      <c r="B21" s="211" t="s">
        <v>403</v>
      </c>
      <c r="C21" s="426" t="s">
        <v>371</v>
      </c>
      <c r="D21" s="434">
        <f>D19*D20</f>
        <v>84.5</v>
      </c>
      <c r="E21" s="434">
        <f t="shared" ref="E21:H21" si="4">E19*E20</f>
        <v>84.5</v>
      </c>
      <c r="F21" s="434">
        <f t="shared" si="4"/>
        <v>84.5</v>
      </c>
      <c r="G21" s="434">
        <f t="shared" si="4"/>
        <v>84.5</v>
      </c>
      <c r="H21" s="434">
        <f t="shared" si="4"/>
        <v>84.5</v>
      </c>
      <c r="M21" s="437"/>
    </row>
    <row r="22" spans="1:13">
      <c r="B22" s="211" t="s">
        <v>415</v>
      </c>
      <c r="C22" s="426" t="s">
        <v>408</v>
      </c>
      <c r="D22" s="432">
        <v>236</v>
      </c>
      <c r="E22" s="432">
        <v>59</v>
      </c>
      <c r="F22" s="432">
        <v>144</v>
      </c>
      <c r="G22" s="432">
        <v>4</v>
      </c>
      <c r="H22" s="432">
        <v>41</v>
      </c>
    </row>
    <row r="23" spans="1:13">
      <c r="B23" s="211" t="s">
        <v>417</v>
      </c>
      <c r="C23" s="426" t="s">
        <v>3</v>
      </c>
      <c r="D23" s="433">
        <v>0.2</v>
      </c>
      <c r="E23" s="433">
        <v>0.2</v>
      </c>
      <c r="F23" s="433">
        <v>0.2</v>
      </c>
      <c r="G23" s="433">
        <v>0.2</v>
      </c>
      <c r="H23" s="433">
        <v>0.2</v>
      </c>
    </row>
    <row r="24" spans="1:13">
      <c r="B24" s="211" t="s">
        <v>407</v>
      </c>
      <c r="C24" s="426" t="s">
        <v>408</v>
      </c>
      <c r="D24" s="438">
        <f>ROUNDUP(D22*D23,0)</f>
        <v>48</v>
      </c>
      <c r="E24" s="438">
        <f t="shared" ref="E24:H24" si="5">ROUNDUP(E22*E23,0)</f>
        <v>12</v>
      </c>
      <c r="F24" s="438">
        <f t="shared" si="5"/>
        <v>29</v>
      </c>
      <c r="G24" s="438">
        <f t="shared" si="5"/>
        <v>1</v>
      </c>
      <c r="H24" s="438">
        <f t="shared" si="5"/>
        <v>9</v>
      </c>
    </row>
    <row r="25" spans="1:13">
      <c r="B25" s="211"/>
      <c r="C25" s="426"/>
      <c r="D25" s="438"/>
      <c r="E25" s="438"/>
      <c r="F25" s="438"/>
      <c r="G25" s="438"/>
      <c r="H25" s="438"/>
    </row>
    <row r="26" spans="1:13">
      <c r="B26" s="353"/>
      <c r="C26" s="353"/>
      <c r="D26" s="420"/>
      <c r="E26" s="420"/>
      <c r="F26" s="420"/>
      <c r="G26" s="420"/>
      <c r="H26" s="420"/>
    </row>
    <row r="27" spans="1:13" ht="12.6" customHeight="1" thickBot="1">
      <c r="B27" s="353"/>
      <c r="C27" s="353"/>
      <c r="D27" s="419" t="s">
        <v>321</v>
      </c>
      <c r="E27" s="419" t="s">
        <v>362</v>
      </c>
      <c r="F27" s="419" t="s">
        <v>363</v>
      </c>
      <c r="G27" s="419" t="s">
        <v>364</v>
      </c>
      <c r="H27" s="419" t="s">
        <v>322</v>
      </c>
    </row>
    <row r="28" spans="1:13" ht="12.95" customHeight="1">
      <c r="A28" s="417"/>
      <c r="B28" s="214" t="s">
        <v>433</v>
      </c>
      <c r="C28" s="214"/>
      <c r="D28" s="439" cm="1">
        <f t="array" ref="D28:H28">TRANSPOSE(M4:M8)</f>
        <v>76.676560121765604</v>
      </c>
      <c r="E28" s="439">
        <v>0</v>
      </c>
      <c r="F28" s="439">
        <v>125.60781329274479</v>
      </c>
      <c r="G28" s="439">
        <v>58.079654997463216</v>
      </c>
      <c r="H28" s="439">
        <v>41.840690005073569</v>
      </c>
    </row>
    <row r="29" spans="1:13" ht="12.95" customHeight="1">
      <c r="A29" s="417"/>
      <c r="B29" s="214" t="s">
        <v>434</v>
      </c>
      <c r="C29" s="214"/>
      <c r="D29" s="440" cm="1">
        <f t="array" ref="D29:H29">TRANSPOSE(N4:N8)</f>
        <v>138.01780821917808</v>
      </c>
      <c r="E29" s="440">
        <v>0</v>
      </c>
      <c r="F29" s="440">
        <v>226.09406392694063</v>
      </c>
      <c r="G29" s="440">
        <v>104.54337899543378</v>
      </c>
      <c r="H29" s="440">
        <v>75.313242009132424</v>
      </c>
    </row>
    <row r="30" spans="1:13" ht="12.95" customHeight="1">
      <c r="A30" s="417"/>
      <c r="B30" s="210" t="s">
        <v>325</v>
      </c>
      <c r="D30" s="432">
        <v>1201</v>
      </c>
      <c r="E30" s="432">
        <v>50.25</v>
      </c>
      <c r="F30" s="432">
        <v>950</v>
      </c>
      <c r="G30" s="432">
        <v>112.15</v>
      </c>
      <c r="H30" s="432">
        <v>217.5</v>
      </c>
    </row>
    <row r="31" spans="1:13" ht="12.95" customHeight="1">
      <c r="A31" s="417"/>
      <c r="B31" s="210" t="s">
        <v>523</v>
      </c>
      <c r="D31" s="438">
        <f>D30*0.5</f>
        <v>600.5</v>
      </c>
      <c r="E31" s="438">
        <f t="shared" ref="E31:H31" si="6">E30*0.5</f>
        <v>25.125</v>
      </c>
      <c r="F31" s="438">
        <f t="shared" si="6"/>
        <v>475</v>
      </c>
      <c r="G31" s="438">
        <f t="shared" si="6"/>
        <v>56.075000000000003</v>
      </c>
      <c r="H31" s="438">
        <f t="shared" si="6"/>
        <v>108.75</v>
      </c>
    </row>
    <row r="32" spans="1:13" ht="12.95" customHeight="1">
      <c r="A32" s="417"/>
      <c r="B32" s="210" t="s">
        <v>524</v>
      </c>
      <c r="D32" s="438">
        <f>D30*1.2*1.5</f>
        <v>2161.8000000000002</v>
      </c>
      <c r="E32" s="438">
        <f t="shared" ref="E32:H32" si="7">E30*1.2*1.5</f>
        <v>90.449999999999989</v>
      </c>
      <c r="F32" s="438">
        <f t="shared" si="7"/>
        <v>1710</v>
      </c>
      <c r="G32" s="438">
        <f t="shared" si="7"/>
        <v>201.87</v>
      </c>
      <c r="H32" s="438">
        <f t="shared" si="7"/>
        <v>391.5</v>
      </c>
    </row>
    <row r="33" spans="1:8" ht="12.95" hidden="1" customHeight="1">
      <c r="A33" s="417"/>
      <c r="B33" s="423" t="s">
        <v>525</v>
      </c>
      <c r="C33" s="214"/>
      <c r="D33" s="441" t="b">
        <f>D29&lt;D30</f>
        <v>1</v>
      </c>
      <c r="E33" s="441" t="b">
        <f>E29&lt;E30</f>
        <v>1</v>
      </c>
      <c r="F33" s="441" t="b">
        <f t="shared" ref="F33:H33" si="8">F29&lt;F30</f>
        <v>1</v>
      </c>
      <c r="G33" s="441" t="b">
        <f t="shared" si="8"/>
        <v>1</v>
      </c>
      <c r="H33" s="441" t="b">
        <f t="shared" si="8"/>
        <v>1</v>
      </c>
    </row>
    <row r="34" spans="1:8" ht="12.95" hidden="1" customHeight="1">
      <c r="A34" s="417"/>
      <c r="B34" s="423" t="s">
        <v>526</v>
      </c>
      <c r="C34" s="214"/>
      <c r="D34" s="441" t="b">
        <f>D29&lt;D31</f>
        <v>1</v>
      </c>
      <c r="E34" s="441" t="b">
        <f>E29&lt;E31</f>
        <v>1</v>
      </c>
      <c r="F34" s="441" t="b">
        <f t="shared" ref="F34:H34" si="9">F29&lt;F31</f>
        <v>1</v>
      </c>
      <c r="G34" s="441" t="b">
        <f t="shared" si="9"/>
        <v>0</v>
      </c>
      <c r="H34" s="441" t="b">
        <f t="shared" si="9"/>
        <v>1</v>
      </c>
    </row>
    <row r="35" spans="1:8">
      <c r="A35" s="417"/>
      <c r="D35" s="212"/>
      <c r="E35" s="212"/>
      <c r="F35" s="212"/>
      <c r="G35" s="212"/>
      <c r="H35" s="212"/>
    </row>
    <row r="36" spans="1:8" ht="14.45" customHeight="1">
      <c r="A36" s="417"/>
      <c r="B36" s="19" t="s">
        <v>370</v>
      </c>
      <c r="C36" s="19"/>
      <c r="D36" s="212"/>
      <c r="E36" s="212"/>
      <c r="F36" s="212"/>
      <c r="G36" s="212"/>
      <c r="H36" s="212"/>
    </row>
    <row r="37" spans="1:8" ht="16.5" customHeight="1" thickBot="1">
      <c r="B37" s="418" t="s">
        <v>366</v>
      </c>
      <c r="C37" s="418"/>
      <c r="D37" s="419" t="s">
        <v>321</v>
      </c>
      <c r="E37" s="419" t="s">
        <v>362</v>
      </c>
      <c r="F37" s="419" t="s">
        <v>363</v>
      </c>
      <c r="G37" s="419" t="s">
        <v>364</v>
      </c>
      <c r="H37" s="419" t="s">
        <v>322</v>
      </c>
    </row>
    <row r="38" spans="1:8">
      <c r="A38" s="417"/>
      <c r="B38" s="210" t="s">
        <v>267</v>
      </c>
      <c r="D38" s="442">
        <f>IFERROR(((('Premissas e Cálculos'!O82+'Premissas e Cálculos'!O89)*(1-'Premissas e Cálculos'!$D$33)-('Premissas e Cálculos'!O109+'Premissas e Cálculos'!O116)*(1-'Premissas e Cálculos'!$D$32)))/'Premissas e Cálculos'!D125,"-")</f>
        <v>0.28443431943855235</v>
      </c>
      <c r="E38" s="442" t="str">
        <f>IFERROR((('Premissas e Cálculos'!O83+'Premissas e Cálculos'!O90)*(1-'Premissas e Cálculos'!$D$33)-('Premissas e Cálculos'!O110+'Premissas e Cálculos'!O117)*(1-'Premissas e Cálculos'!$D$32))/'Premissas e Cálculos'!D126,"-")</f>
        <v>-</v>
      </c>
      <c r="F38" s="442">
        <f>IFERROR((('Premissas e Cálculos'!O84+'Premissas e Cálculos'!O91)*(1-'Premissas e Cálculos'!$D$33)-('Premissas e Cálculos'!O111+'Premissas e Cálculos'!O118)*(1-'Premissas e Cálculos'!$D$32))/'Premissas e Cálculos'!D127,"-")</f>
        <v>0.25488807654768897</v>
      </c>
      <c r="G38" s="442">
        <f>IFERROR((('Premissas e Cálculos'!O85+'Premissas e Cálculos'!O92)*(1-'Premissas e Cálculos'!$D$33)-('Premissas e Cálculos'!O112+'Premissas e Cálculos'!O119)*(1-'Premissas e Cálculos'!$D$32))/'Premissas e Cálculos'!D128,"-")</f>
        <v>0.32518056527816513</v>
      </c>
      <c r="H38" s="442">
        <f>IFERROR((('Premissas e Cálculos'!O86+'Premissas e Cálculos'!O93)*(1-'Premissas e Cálculos'!$D$33)-('Premissas e Cálculos'!O113+'Premissas e Cálculos'!O120)*(1-'Premissas e Cálculos'!$D$32))/'Premissas e Cálculos'!D129,"-")</f>
        <v>0.29016511477305967</v>
      </c>
    </row>
  </sheetData>
  <sheetProtection algorithmName="SHA-512" hashValue="BvpljwK0PEGqX2GQuPewMASX5yFtnRRC8Eu8Xg3g02Va6532QOecDjvu2WlQj9r4L8BuOWktsQo6wKq/WymGdQ==" saltValue="Eq7Hm5fStfwi2QiU3ouKEQ==" spinCount="100000" sheet="1" objects="1" scenarios="1"/>
  <phoneticPr fontId="19" type="noConversion"/>
  <conditionalFormatting sqref="D33:H34">
    <cfRule type="cellIs" dxfId="12" priority="1" operator="equal">
      <formula>FALSE</formula>
    </cfRule>
    <cfRule type="cellIs" dxfId="11" priority="2" operator="equal">
      <formula>TRUE</formula>
    </cfRule>
  </conditionalFormatting>
  <dataValidations count="1">
    <dataValidation type="list" allowBlank="1" showInputMessage="1" showErrorMessage="1" sqref="D4:H4" xr:uid="{9F61E3A6-4468-41B6-BA37-58FDEE580DB1}">
      <formula1>"1,0"</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5B390-8158-4DCD-961B-976AAAAE0C4E}">
  <sheetPr>
    <tabColor theme="0" tint="-0.34998626667073579"/>
  </sheetPr>
  <dimension ref="A1:AJ239"/>
  <sheetViews>
    <sheetView showGridLines="0" zoomScaleNormal="100" workbookViewId="0">
      <pane xSplit="2" ySplit="1" topLeftCell="C2" activePane="bottomRight" state="frozen"/>
      <selection pane="topRight" activeCell="C1" sqref="C1"/>
      <selection pane="bottomLeft" activeCell="A2" sqref="A2"/>
      <selection pane="bottomRight" activeCell="A2" sqref="A2"/>
    </sheetView>
  </sheetViews>
  <sheetFormatPr defaultColWidth="0" defaultRowHeight="12.75" outlineLevelRow="1"/>
  <cols>
    <col min="1" max="1" width="7" style="445" customWidth="1"/>
    <col min="2" max="2" width="31.28515625" style="445" customWidth="1"/>
    <col min="3" max="3" width="8.85546875" style="445" customWidth="1"/>
    <col min="4" max="35" width="11.42578125" style="445" customWidth="1"/>
    <col min="36" max="36" width="10.5703125" style="445" customWidth="1"/>
    <col min="37" max="16384" width="8.85546875" style="445" hidden="1"/>
  </cols>
  <sheetData>
    <row r="1" spans="1:36" s="443" customFormat="1" ht="12">
      <c r="A1" s="205"/>
      <c r="D1" s="443" t="s">
        <v>1</v>
      </c>
      <c r="E1" s="444" cm="1">
        <f t="array" ref="E1:AI1">_xlfn.SEQUENCE(1,31)-1</f>
        <v>0</v>
      </c>
      <c r="F1" s="444">
        <v>1</v>
      </c>
      <c r="G1" s="444">
        <v>2</v>
      </c>
      <c r="H1" s="444">
        <v>3</v>
      </c>
      <c r="I1" s="444">
        <v>4</v>
      </c>
      <c r="J1" s="444">
        <v>5</v>
      </c>
      <c r="K1" s="444">
        <v>6</v>
      </c>
      <c r="L1" s="444">
        <v>7</v>
      </c>
      <c r="M1" s="444">
        <v>8</v>
      </c>
      <c r="N1" s="444">
        <v>9</v>
      </c>
      <c r="O1" s="444">
        <v>10</v>
      </c>
      <c r="P1" s="444">
        <v>11</v>
      </c>
      <c r="Q1" s="444">
        <v>12</v>
      </c>
      <c r="R1" s="444">
        <v>13</v>
      </c>
      <c r="S1" s="444">
        <v>14</v>
      </c>
      <c r="T1" s="444">
        <v>15</v>
      </c>
      <c r="U1" s="444">
        <v>16</v>
      </c>
      <c r="V1" s="444">
        <v>17</v>
      </c>
      <c r="W1" s="444">
        <v>18</v>
      </c>
      <c r="X1" s="444">
        <v>19</v>
      </c>
      <c r="Y1" s="444">
        <v>20</v>
      </c>
      <c r="Z1" s="444">
        <v>21</v>
      </c>
      <c r="AA1" s="444">
        <v>22</v>
      </c>
      <c r="AB1" s="444">
        <v>23</v>
      </c>
      <c r="AC1" s="444">
        <v>24</v>
      </c>
      <c r="AD1" s="444">
        <v>25</v>
      </c>
      <c r="AE1" s="444">
        <v>26</v>
      </c>
      <c r="AF1" s="444">
        <v>27</v>
      </c>
      <c r="AG1" s="444">
        <v>28</v>
      </c>
      <c r="AH1" s="444">
        <v>29</v>
      </c>
      <c r="AI1" s="444">
        <v>30</v>
      </c>
    </row>
    <row r="2" spans="1:36" s="443" customFormat="1" ht="12">
      <c r="B2" s="443" t="s">
        <v>2</v>
      </c>
    </row>
    <row r="3" spans="1:36" s="352" customFormat="1" ht="12">
      <c r="B3" s="352" t="s">
        <v>372</v>
      </c>
    </row>
    <row r="4" spans="1:36" outlineLevel="1">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row>
    <row r="5" spans="1:36" outlineLevel="1">
      <c r="B5" s="355" t="s">
        <v>125</v>
      </c>
      <c r="C5" s="356"/>
      <c r="D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row>
    <row r="6" spans="1:36" outlineLevel="1">
      <c r="B6" s="446" t="s">
        <v>388</v>
      </c>
      <c r="C6" s="447"/>
      <c r="D6" s="447">
        <f>SUM(D7:D11)</f>
        <v>4</v>
      </c>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row>
    <row r="7" spans="1:36" outlineLevel="1">
      <c r="B7" s="372" t="s">
        <v>321</v>
      </c>
      <c r="C7" s="221" t="s">
        <v>323</v>
      </c>
      <c r="D7" s="448">
        <f>Dashboard!D4</f>
        <v>1</v>
      </c>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row>
    <row r="8" spans="1:36" outlineLevel="1">
      <c r="B8" s="372" t="s">
        <v>362</v>
      </c>
      <c r="C8" s="221" t="s">
        <v>323</v>
      </c>
      <c r="D8" s="448">
        <f>Dashboard!E4</f>
        <v>0</v>
      </c>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356"/>
      <c r="AG8" s="356"/>
      <c r="AH8" s="356"/>
      <c r="AI8" s="356"/>
    </row>
    <row r="9" spans="1:36" outlineLevel="1">
      <c r="B9" s="372" t="s">
        <v>363</v>
      </c>
      <c r="C9" s="221" t="s">
        <v>323</v>
      </c>
      <c r="D9" s="448">
        <f>Dashboard!F4</f>
        <v>1</v>
      </c>
      <c r="F9" s="356"/>
      <c r="G9" s="356"/>
      <c r="H9" s="356"/>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row>
    <row r="10" spans="1:36" outlineLevel="1">
      <c r="B10" s="372" t="s">
        <v>364</v>
      </c>
      <c r="C10" s="221" t="s">
        <v>323</v>
      </c>
      <c r="D10" s="448">
        <f>Dashboard!G4</f>
        <v>1</v>
      </c>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row>
    <row r="11" spans="1:36" outlineLevel="1">
      <c r="B11" s="372" t="s">
        <v>322</v>
      </c>
      <c r="C11" s="221" t="s">
        <v>323</v>
      </c>
      <c r="D11" s="448">
        <f>Dashboard!H4</f>
        <v>1</v>
      </c>
      <c r="E11" s="356"/>
      <c r="F11" s="356"/>
      <c r="G11" s="356"/>
      <c r="H11" s="356"/>
      <c r="I11" s="356"/>
      <c r="J11" s="356"/>
      <c r="K11" s="356"/>
      <c r="L11" s="356"/>
      <c r="M11" s="356"/>
      <c r="N11" s="356"/>
      <c r="O11" s="356"/>
      <c r="P11" s="356"/>
      <c r="Q11" s="356"/>
      <c r="R11" s="356"/>
      <c r="S11" s="356"/>
      <c r="T11" s="356"/>
      <c r="U11" s="356"/>
      <c r="V11" s="356"/>
      <c r="W11" s="356"/>
      <c r="X11" s="356"/>
      <c r="Y11" s="356"/>
      <c r="Z11" s="356"/>
      <c r="AA11" s="356"/>
      <c r="AB11" s="356"/>
      <c r="AC11" s="356"/>
      <c r="AD11" s="356"/>
      <c r="AE11" s="356"/>
      <c r="AF11" s="356"/>
      <c r="AG11" s="356"/>
      <c r="AH11" s="356"/>
      <c r="AI11" s="356"/>
    </row>
    <row r="12" spans="1:36" outlineLevel="1">
      <c r="B12" s="357"/>
      <c r="C12" s="357"/>
      <c r="D12" s="449"/>
      <c r="E12" s="356"/>
      <c r="F12" s="356"/>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G12" s="356"/>
      <c r="AH12" s="356"/>
      <c r="AI12" s="356"/>
    </row>
    <row r="13" spans="1:36" outlineLevel="1">
      <c r="B13" s="450" t="s">
        <v>392</v>
      </c>
      <c r="C13" s="357"/>
      <c r="D13" s="377"/>
      <c r="E13" s="356"/>
      <c r="F13" s="356"/>
      <c r="G13" s="356"/>
      <c r="H13" s="356"/>
      <c r="I13" s="356"/>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row>
    <row r="14" spans="1:36" s="210" customFormat="1" ht="12" outlineLevel="1">
      <c r="B14" s="355" t="s">
        <v>338</v>
      </c>
      <c r="C14" s="221" t="s">
        <v>323</v>
      </c>
      <c r="D14" s="451">
        <v>1</v>
      </c>
      <c r="E14" s="211"/>
      <c r="F14" s="452">
        <f>IF($D$14=1,1,0)</f>
        <v>1</v>
      </c>
      <c r="G14" s="452">
        <f t="shared" ref="G14:AJ15" si="0">IF($D$14=1,1,0)</f>
        <v>1</v>
      </c>
      <c r="H14" s="452">
        <f t="shared" si="0"/>
        <v>1</v>
      </c>
      <c r="I14" s="452">
        <f t="shared" si="0"/>
        <v>1</v>
      </c>
      <c r="J14" s="452">
        <f t="shared" si="0"/>
        <v>1</v>
      </c>
      <c r="K14" s="452">
        <f t="shared" si="0"/>
        <v>1</v>
      </c>
      <c r="L14" s="452">
        <f t="shared" si="0"/>
        <v>1</v>
      </c>
      <c r="M14" s="452">
        <f t="shared" si="0"/>
        <v>1</v>
      </c>
      <c r="N14" s="452">
        <f t="shared" si="0"/>
        <v>1</v>
      </c>
      <c r="O14" s="452">
        <f t="shared" si="0"/>
        <v>1</v>
      </c>
      <c r="P14" s="452">
        <f t="shared" si="0"/>
        <v>1</v>
      </c>
      <c r="Q14" s="452">
        <f t="shared" si="0"/>
        <v>1</v>
      </c>
      <c r="R14" s="452">
        <f t="shared" si="0"/>
        <v>1</v>
      </c>
      <c r="S14" s="452">
        <f t="shared" si="0"/>
        <v>1</v>
      </c>
      <c r="T14" s="452">
        <f t="shared" si="0"/>
        <v>1</v>
      </c>
      <c r="U14" s="452">
        <f t="shared" si="0"/>
        <v>1</v>
      </c>
      <c r="V14" s="452">
        <f t="shared" si="0"/>
        <v>1</v>
      </c>
      <c r="W14" s="452">
        <f t="shared" si="0"/>
        <v>1</v>
      </c>
      <c r="X14" s="452">
        <f t="shared" si="0"/>
        <v>1</v>
      </c>
      <c r="Y14" s="452">
        <f t="shared" si="0"/>
        <v>1</v>
      </c>
      <c r="Z14" s="452">
        <f t="shared" si="0"/>
        <v>1</v>
      </c>
      <c r="AA14" s="452">
        <f t="shared" si="0"/>
        <v>1</v>
      </c>
      <c r="AB14" s="452">
        <f t="shared" si="0"/>
        <v>1</v>
      </c>
      <c r="AC14" s="452">
        <f t="shared" si="0"/>
        <v>1</v>
      </c>
      <c r="AD14" s="452">
        <f t="shared" si="0"/>
        <v>1</v>
      </c>
      <c r="AE14" s="452">
        <f t="shared" si="0"/>
        <v>1</v>
      </c>
      <c r="AF14" s="452">
        <f t="shared" si="0"/>
        <v>1</v>
      </c>
      <c r="AG14" s="452">
        <f t="shared" si="0"/>
        <v>1</v>
      </c>
      <c r="AH14" s="452">
        <f t="shared" si="0"/>
        <v>1</v>
      </c>
      <c r="AI14" s="452">
        <f t="shared" si="0"/>
        <v>1</v>
      </c>
      <c r="AJ14" s="452">
        <f t="shared" si="0"/>
        <v>1</v>
      </c>
    </row>
    <row r="15" spans="1:36" s="210" customFormat="1" ht="12" outlineLevel="1">
      <c r="B15" s="355" t="s">
        <v>339</v>
      </c>
      <c r="C15" s="221" t="s">
        <v>323</v>
      </c>
      <c r="D15" s="451">
        <v>1</v>
      </c>
      <c r="E15" s="211"/>
      <c r="F15" s="452">
        <f>IF($D$14=1,1,0)</f>
        <v>1</v>
      </c>
      <c r="G15" s="452">
        <f t="shared" si="0"/>
        <v>1</v>
      </c>
      <c r="H15" s="452">
        <f t="shared" si="0"/>
        <v>1</v>
      </c>
      <c r="I15" s="452">
        <f t="shared" si="0"/>
        <v>1</v>
      </c>
      <c r="J15" s="452">
        <f t="shared" si="0"/>
        <v>1</v>
      </c>
      <c r="K15" s="452">
        <f t="shared" si="0"/>
        <v>1</v>
      </c>
      <c r="L15" s="452">
        <f t="shared" si="0"/>
        <v>1</v>
      </c>
      <c r="M15" s="452">
        <f t="shared" si="0"/>
        <v>1</v>
      </c>
      <c r="N15" s="452">
        <f t="shared" si="0"/>
        <v>1</v>
      </c>
      <c r="O15" s="452">
        <f t="shared" si="0"/>
        <v>1</v>
      </c>
      <c r="P15" s="452">
        <f t="shared" si="0"/>
        <v>1</v>
      </c>
      <c r="Q15" s="452">
        <f t="shared" si="0"/>
        <v>1</v>
      </c>
      <c r="R15" s="452">
        <f t="shared" si="0"/>
        <v>1</v>
      </c>
      <c r="S15" s="452">
        <f t="shared" si="0"/>
        <v>1</v>
      </c>
      <c r="T15" s="452">
        <f t="shared" si="0"/>
        <v>1</v>
      </c>
      <c r="U15" s="452">
        <f t="shared" si="0"/>
        <v>1</v>
      </c>
      <c r="V15" s="452">
        <f t="shared" si="0"/>
        <v>1</v>
      </c>
      <c r="W15" s="452">
        <f t="shared" si="0"/>
        <v>1</v>
      </c>
      <c r="X15" s="452">
        <f t="shared" si="0"/>
        <v>1</v>
      </c>
      <c r="Y15" s="452">
        <f t="shared" si="0"/>
        <v>1</v>
      </c>
      <c r="Z15" s="452">
        <f t="shared" si="0"/>
        <v>1</v>
      </c>
      <c r="AA15" s="452">
        <f t="shared" si="0"/>
        <v>1</v>
      </c>
      <c r="AB15" s="452">
        <f t="shared" si="0"/>
        <v>1</v>
      </c>
      <c r="AC15" s="452">
        <f t="shared" si="0"/>
        <v>1</v>
      </c>
      <c r="AD15" s="452">
        <f t="shared" si="0"/>
        <v>1</v>
      </c>
      <c r="AE15" s="452">
        <f t="shared" si="0"/>
        <v>1</v>
      </c>
      <c r="AF15" s="452">
        <f t="shared" si="0"/>
        <v>1</v>
      </c>
      <c r="AG15" s="452">
        <f t="shared" si="0"/>
        <v>1</v>
      </c>
      <c r="AH15" s="452">
        <f t="shared" si="0"/>
        <v>1</v>
      </c>
      <c r="AI15" s="452">
        <f t="shared" si="0"/>
        <v>1</v>
      </c>
      <c r="AJ15" s="452">
        <f t="shared" si="0"/>
        <v>1</v>
      </c>
    </row>
    <row r="16" spans="1:36" s="210" customFormat="1" outlineLevel="1">
      <c r="B16" s="355"/>
      <c r="C16" s="221"/>
      <c r="D16" s="449"/>
      <c r="E16" s="211"/>
      <c r="F16" s="377"/>
      <c r="G16" s="377"/>
      <c r="H16" s="377"/>
      <c r="I16" s="377"/>
      <c r="J16" s="377"/>
      <c r="K16" s="377"/>
      <c r="L16" s="377"/>
      <c r="M16" s="377"/>
      <c r="N16" s="377"/>
      <c r="O16" s="377"/>
      <c r="P16" s="377"/>
      <c r="Q16" s="377"/>
      <c r="R16" s="377"/>
      <c r="S16" s="377"/>
      <c r="T16" s="377"/>
      <c r="U16" s="377"/>
      <c r="V16" s="377"/>
      <c r="W16" s="377"/>
      <c r="X16" s="377"/>
      <c r="Y16" s="377"/>
      <c r="Z16" s="377"/>
      <c r="AA16" s="377"/>
      <c r="AB16" s="377"/>
      <c r="AC16" s="377"/>
    </row>
    <row r="17" spans="1:35" s="210" customFormat="1" outlineLevel="1">
      <c r="B17" s="355" t="s">
        <v>404</v>
      </c>
      <c r="C17" s="221"/>
      <c r="D17" s="449"/>
      <c r="E17" s="211"/>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row>
    <row r="18" spans="1:35" s="210" customFormat="1" ht="12" customHeight="1" outlineLevel="1">
      <c r="B18" s="357" t="s">
        <v>405</v>
      </c>
      <c r="C18" s="357" t="s">
        <v>8</v>
      </c>
      <c r="D18" s="453">
        <f>'Premissas Técnicas'!D5</f>
        <v>10</v>
      </c>
      <c r="E18" s="211"/>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row>
    <row r="19" spans="1:35" outlineLevel="1">
      <c r="B19" s="357" t="s">
        <v>406</v>
      </c>
      <c r="C19" s="357" t="s">
        <v>8</v>
      </c>
      <c r="D19" s="453">
        <f>'Premissas Técnicas'!D6</f>
        <v>17</v>
      </c>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row>
    <row r="20" spans="1:35" outlineLevel="1">
      <c r="B20" s="356"/>
      <c r="C20" s="356"/>
      <c r="D20" s="454"/>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row>
    <row r="21" spans="1:35" s="210" customFormat="1" ht="12" outlineLevel="1">
      <c r="A21" s="227"/>
      <c r="B21" s="359" t="s">
        <v>129</v>
      </c>
      <c r="C21" s="455" t="s">
        <v>130</v>
      </c>
      <c r="D21" s="456"/>
      <c r="E21" s="211"/>
    </row>
    <row r="22" spans="1:35" s="210" customFormat="1" ht="12">
      <c r="C22" s="221"/>
      <c r="D22" s="377"/>
    </row>
    <row r="23" spans="1:35" s="210" customFormat="1" ht="12">
      <c r="C23" s="221"/>
      <c r="D23" s="377"/>
      <c r="F23" s="213"/>
    </row>
    <row r="24" spans="1:35" s="210" customFormat="1" ht="12">
      <c r="B24" s="355" t="s">
        <v>132</v>
      </c>
      <c r="C24" s="221"/>
      <c r="D24" s="377"/>
    </row>
    <row r="25" spans="1:35" s="210" customFormat="1" ht="12" outlineLevel="1">
      <c r="B25" s="210" t="s">
        <v>12</v>
      </c>
      <c r="C25" s="221" t="s">
        <v>13</v>
      </c>
      <c r="D25" s="453">
        <v>30</v>
      </c>
    </row>
    <row r="26" spans="1:35" s="210" customFormat="1" ht="12" outlineLevel="1">
      <c r="B26" s="210" t="s">
        <v>14</v>
      </c>
      <c r="C26" s="221" t="s">
        <v>13</v>
      </c>
      <c r="D26" s="453">
        <v>30</v>
      </c>
    </row>
    <row r="27" spans="1:35" s="210" customFormat="1" ht="12" outlineLevel="1">
      <c r="C27" s="221"/>
      <c r="D27" s="377"/>
    </row>
    <row r="28" spans="1:35" s="210" customFormat="1" ht="12" outlineLevel="1">
      <c r="B28" s="210" t="s">
        <v>133</v>
      </c>
      <c r="C28" s="221" t="s">
        <v>3</v>
      </c>
      <c r="D28" s="457">
        <v>0</v>
      </c>
    </row>
    <row r="29" spans="1:35" s="210" customFormat="1" ht="12" outlineLevel="1">
      <c r="B29" s="210" t="s">
        <v>423</v>
      </c>
      <c r="C29" s="221" t="s">
        <v>3</v>
      </c>
      <c r="D29" s="457">
        <f>IF('Premissas e Cálculos'!C21="Real",(1.65%+7.6%),(3%+0.65%))</f>
        <v>3.6499999999999998E-2</v>
      </c>
    </row>
    <row r="30" spans="1:35" s="210" customFormat="1" ht="12" outlineLevel="1">
      <c r="B30" s="210" t="s">
        <v>134</v>
      </c>
      <c r="C30" s="221" t="s">
        <v>3</v>
      </c>
      <c r="D30" s="457">
        <f>1.65%+7.6%</f>
        <v>9.2499999999999999E-2</v>
      </c>
    </row>
    <row r="31" spans="1:35" s="210" customFormat="1" ht="12" outlineLevel="1">
      <c r="B31" s="210" t="s">
        <v>16</v>
      </c>
      <c r="C31" s="221" t="s">
        <v>3</v>
      </c>
      <c r="D31" s="458">
        <v>0.34</v>
      </c>
    </row>
    <row r="32" spans="1:35" s="210" customFormat="1" ht="12" outlineLevel="1">
      <c r="B32" s="210" t="s">
        <v>17</v>
      </c>
      <c r="C32" s="221" t="s">
        <v>3</v>
      </c>
      <c r="D32" s="457">
        <f>12%*9%+8%*25%</f>
        <v>3.0800000000000001E-2</v>
      </c>
    </row>
    <row r="33" spans="1:8" s="210" customFormat="1" ht="12" outlineLevel="1">
      <c r="B33" s="214" t="s">
        <v>422</v>
      </c>
      <c r="C33" s="221" t="s">
        <v>3</v>
      </c>
      <c r="D33" s="459">
        <f>IF($C$21="Presumido",D28+D29,D28+D30)</f>
        <v>3.6499999999999998E-2</v>
      </c>
    </row>
    <row r="34" spans="1:8" s="210" customFormat="1" ht="12" outlineLevel="1">
      <c r="C34" s="221"/>
      <c r="D34" s="377"/>
    </row>
    <row r="35" spans="1:8" s="210" customFormat="1" ht="12" outlineLevel="1">
      <c r="B35" s="210" t="s">
        <v>18</v>
      </c>
      <c r="C35" s="221"/>
      <c r="D35" s="457">
        <v>8.0799999999999997E-2</v>
      </c>
    </row>
    <row r="36" spans="1:8" s="210" customFormat="1" ht="12">
      <c r="C36" s="221"/>
      <c r="D36" s="377"/>
    </row>
    <row r="37" spans="1:8" s="210" customFormat="1" ht="12">
      <c r="B37" s="355" t="s">
        <v>127</v>
      </c>
      <c r="D37" s="377"/>
    </row>
    <row r="38" spans="1:8" s="210" customFormat="1" ht="12">
      <c r="B38" s="210" t="s">
        <v>128</v>
      </c>
      <c r="D38" s="460">
        <v>0.4</v>
      </c>
    </row>
    <row r="39" spans="1:8">
      <c r="B39" s="210" t="s">
        <v>545</v>
      </c>
      <c r="C39" s="210"/>
      <c r="D39" s="458">
        <f>1-D38</f>
        <v>0.6</v>
      </c>
    </row>
    <row r="40" spans="1:8">
      <c r="B40" s="210"/>
      <c r="C40" s="210"/>
      <c r="D40" s="458"/>
    </row>
    <row r="41" spans="1:8">
      <c r="B41" s="210" t="s">
        <v>126</v>
      </c>
      <c r="C41" s="210"/>
      <c r="D41" s="461">
        <v>1</v>
      </c>
    </row>
    <row r="42" spans="1:8">
      <c r="B42" s="210" t="s">
        <v>535</v>
      </c>
      <c r="C42" s="210"/>
      <c r="D42" s="460">
        <v>0.15</v>
      </c>
    </row>
    <row r="43" spans="1:8">
      <c r="B43" s="11"/>
      <c r="C43" s="11"/>
      <c r="D43" s="462"/>
    </row>
    <row r="44" spans="1:8" s="352" customFormat="1" ht="12">
      <c r="B44" s="352" t="s">
        <v>394</v>
      </c>
      <c r="D44" s="463"/>
    </row>
    <row r="45" spans="1:8" s="357" customFormat="1" ht="12">
      <c r="D45" s="448"/>
    </row>
    <row r="46" spans="1:8" s="357" customFormat="1" thickBot="1">
      <c r="A46" s="464"/>
      <c r="D46" s="465" t="s">
        <v>321</v>
      </c>
      <c r="E46" s="419" t="s">
        <v>362</v>
      </c>
      <c r="F46" s="419" t="s">
        <v>363</v>
      </c>
      <c r="G46" s="419" t="s">
        <v>364</v>
      </c>
      <c r="H46" s="419" t="s">
        <v>322</v>
      </c>
    </row>
    <row r="47" spans="1:8" s="357" customFormat="1" ht="12">
      <c r="B47" s="357" t="s">
        <v>373</v>
      </c>
      <c r="C47" s="466" t="s">
        <v>374</v>
      </c>
      <c r="D47" s="448">
        <f>INDEX(Dashboard!$D$5:$H$5,MATCH(D46,Dashboard!$D$3:$H$3,0))</f>
        <v>1</v>
      </c>
      <c r="E47" s="357">
        <f>INDEX(Dashboard!$D$5:$H$5,MATCH(E46,Dashboard!$D$3:$H$3,0))</f>
        <v>3</v>
      </c>
      <c r="F47" s="357">
        <f>INDEX(Dashboard!$D$5:$H$5,MATCH(F46,Dashboard!$D$3:$H$3,0))</f>
        <v>4</v>
      </c>
      <c r="G47" s="357">
        <f>INDEX(Dashboard!$D$5:$H$5,MATCH(G46,Dashboard!$D$3:$H$3,0))</f>
        <v>5</v>
      </c>
      <c r="H47" s="357">
        <f>INDEX(Dashboard!$D$5:$H$5,MATCH(H46,Dashboard!$D$3:$H$3,0))</f>
        <v>6</v>
      </c>
    </row>
    <row r="48" spans="1:8" s="357" customFormat="1" ht="12">
      <c r="B48" s="357" t="s">
        <v>389</v>
      </c>
      <c r="C48" s="466" t="s">
        <v>15</v>
      </c>
      <c r="D48" s="448">
        <f>INDEX(Dashboard!$D$6:$H$6,MATCH(D46,Dashboard!$D$3:$H$3,0))</f>
        <v>2</v>
      </c>
      <c r="E48" s="357">
        <f>INDEX(Dashboard!$D$6:$H$6,MATCH(E46,Dashboard!$D$3:$H$3,0))</f>
        <v>2</v>
      </c>
      <c r="F48" s="357">
        <f>INDEX(Dashboard!$D$6:$H$6,MATCH(F46,Dashboard!$D$3:$H$3,0))</f>
        <v>2</v>
      </c>
      <c r="G48" s="357">
        <f>INDEX(Dashboard!$D$6:$H$6,MATCH(G46,Dashboard!$D$3:$H$3,0))</f>
        <v>2</v>
      </c>
      <c r="H48" s="357">
        <f>INDEX(Dashboard!$D$6:$H$6,MATCH(H46,Dashboard!$D$3:$H$3,0))</f>
        <v>2</v>
      </c>
    </row>
    <row r="49" spans="1:8" s="357" customFormat="1" ht="12">
      <c r="B49" s="357" t="s">
        <v>324</v>
      </c>
      <c r="C49" s="466" t="s">
        <v>374</v>
      </c>
      <c r="D49" s="467">
        <f>D47+D48</f>
        <v>3</v>
      </c>
      <c r="E49" s="467">
        <f t="shared" ref="E49:H49" si="1">E47+E48</f>
        <v>5</v>
      </c>
      <c r="F49" s="467">
        <f t="shared" si="1"/>
        <v>6</v>
      </c>
      <c r="G49" s="467">
        <f t="shared" si="1"/>
        <v>7</v>
      </c>
      <c r="H49" s="467">
        <f t="shared" si="1"/>
        <v>8</v>
      </c>
    </row>
    <row r="50" spans="1:8" s="357" customFormat="1" ht="12">
      <c r="B50" s="357" t="s">
        <v>338</v>
      </c>
      <c r="C50" s="466"/>
      <c r="D50" s="467"/>
      <c r="E50" s="467"/>
      <c r="F50" s="467"/>
      <c r="G50" s="467"/>
      <c r="H50" s="467"/>
    </row>
    <row r="51" spans="1:8" s="357" customFormat="1" ht="12">
      <c r="B51" s="353" t="s">
        <v>345</v>
      </c>
      <c r="C51" s="221" t="s">
        <v>15</v>
      </c>
      <c r="D51" s="468">
        <f>Dashboard!D8</f>
        <v>2</v>
      </c>
      <c r="E51" s="469">
        <f>Dashboard!E8</f>
        <v>2</v>
      </c>
      <c r="F51" s="469">
        <f>Dashboard!F8</f>
        <v>2</v>
      </c>
      <c r="G51" s="469">
        <f>Dashboard!G8</f>
        <v>2</v>
      </c>
      <c r="H51" s="469">
        <f>Dashboard!H8</f>
        <v>2</v>
      </c>
    </row>
    <row r="52" spans="1:8" s="357" customFormat="1" ht="12">
      <c r="B52" s="470" t="s">
        <v>390</v>
      </c>
      <c r="C52" s="466" t="s">
        <v>374</v>
      </c>
      <c r="D52" s="471">
        <f>D49+D51</f>
        <v>5</v>
      </c>
      <c r="E52" s="471">
        <f t="shared" ref="E52:H52" si="2">E49+E51</f>
        <v>7</v>
      </c>
      <c r="F52" s="471">
        <f t="shared" si="2"/>
        <v>8</v>
      </c>
      <c r="G52" s="471">
        <f t="shared" si="2"/>
        <v>9</v>
      </c>
      <c r="H52" s="471">
        <f t="shared" si="2"/>
        <v>10</v>
      </c>
    </row>
    <row r="53" spans="1:8" s="357" customFormat="1" ht="12">
      <c r="B53" s="357" t="s">
        <v>339</v>
      </c>
      <c r="C53" s="466"/>
      <c r="D53" s="471"/>
      <c r="E53" s="471"/>
      <c r="F53" s="471"/>
      <c r="G53" s="471"/>
      <c r="H53" s="471"/>
    </row>
    <row r="54" spans="1:8" s="357" customFormat="1" ht="12">
      <c r="B54" s="353" t="s">
        <v>345</v>
      </c>
      <c r="C54" s="221" t="s">
        <v>15</v>
      </c>
      <c r="D54" s="468">
        <f>Dashboard!D9</f>
        <v>2</v>
      </c>
      <c r="E54" s="469">
        <f>Dashboard!E9</f>
        <v>2</v>
      </c>
      <c r="F54" s="469">
        <f>Dashboard!F9</f>
        <v>2</v>
      </c>
      <c r="G54" s="469">
        <f>Dashboard!G9</f>
        <v>2</v>
      </c>
      <c r="H54" s="469">
        <f>Dashboard!H9</f>
        <v>2</v>
      </c>
    </row>
    <row r="55" spans="1:8" s="357" customFormat="1" ht="12">
      <c r="B55" s="470" t="s">
        <v>391</v>
      </c>
      <c r="C55" s="466" t="s">
        <v>374</v>
      </c>
      <c r="D55" s="471">
        <f>D49+D54</f>
        <v>5</v>
      </c>
      <c r="E55" s="471">
        <f t="shared" ref="E55:H55" si="3">E49+E54</f>
        <v>7</v>
      </c>
      <c r="F55" s="471">
        <f t="shared" si="3"/>
        <v>8</v>
      </c>
      <c r="G55" s="471">
        <f t="shared" si="3"/>
        <v>9</v>
      </c>
      <c r="H55" s="471">
        <f t="shared" si="3"/>
        <v>10</v>
      </c>
    </row>
    <row r="56" spans="1:8" s="473" customFormat="1" ht="12.6" customHeight="1">
      <c r="A56" s="357"/>
      <c r="B56" s="467" t="s">
        <v>375</v>
      </c>
      <c r="C56" s="472"/>
      <c r="D56" s="467">
        <v>30</v>
      </c>
      <c r="E56" s="467">
        <v>30</v>
      </c>
      <c r="F56" s="467">
        <v>30</v>
      </c>
      <c r="G56" s="467">
        <v>30</v>
      </c>
      <c r="H56" s="467">
        <v>30</v>
      </c>
    </row>
    <row r="57" spans="1:8" s="473" customFormat="1" ht="12.6" customHeight="1">
      <c r="B57" s="474"/>
      <c r="C57" s="474"/>
      <c r="D57" s="467"/>
    </row>
    <row r="58" spans="1:8" s="357" customFormat="1" ht="12">
      <c r="D58" s="448"/>
    </row>
    <row r="59" spans="1:8" s="352" customFormat="1" ht="12">
      <c r="B59" s="352" t="s">
        <v>376</v>
      </c>
      <c r="D59" s="463"/>
    </row>
    <row r="60" spans="1:8" s="357" customFormat="1" ht="12">
      <c r="D60" s="448"/>
    </row>
    <row r="61" spans="1:8" s="357" customFormat="1" thickBot="1">
      <c r="B61" s="450" t="s">
        <v>409</v>
      </c>
      <c r="C61" s="466"/>
      <c r="D61" s="475" t="s">
        <v>321</v>
      </c>
      <c r="E61" s="476" t="s">
        <v>362</v>
      </c>
      <c r="F61" s="476" t="s">
        <v>363</v>
      </c>
      <c r="G61" s="476" t="s">
        <v>364</v>
      </c>
      <c r="H61" s="476" t="s">
        <v>322</v>
      </c>
    </row>
    <row r="62" spans="1:8" s="357" customFormat="1" ht="12">
      <c r="B62" s="477" t="s">
        <v>377</v>
      </c>
      <c r="C62" s="466" t="s">
        <v>275</v>
      </c>
      <c r="D62" s="452">
        <f>_xlfn.XLOOKUP(D61,Dashboard!$D$3:$H$3,Dashboard!$D$14:$H$14)</f>
        <v>16341.5</v>
      </c>
      <c r="E62" s="373">
        <f>_xlfn.XLOOKUP(E61,Dashboard!$D$3:$H$3,Dashboard!$D$14:$H$14)</f>
        <v>16341.5</v>
      </c>
      <c r="F62" s="373">
        <f>_xlfn.XLOOKUP(F61,Dashboard!$D$3:$H$3,Dashboard!$D$14:$H$14)</f>
        <v>16341.5</v>
      </c>
      <c r="G62" s="373">
        <f>_xlfn.XLOOKUP(G61,Dashboard!$D$3:$H$3,Dashboard!$D$14:$H$14)</f>
        <v>16341.5</v>
      </c>
      <c r="H62" s="373">
        <f>_xlfn.XLOOKUP(H61,Dashboard!$D$3:$H$3,Dashboard!$D$14:$H$14)</f>
        <v>16341.5</v>
      </c>
    </row>
    <row r="63" spans="1:8" s="357" customFormat="1" ht="12">
      <c r="B63" s="477" t="s">
        <v>378</v>
      </c>
      <c r="C63" s="466" t="s">
        <v>8</v>
      </c>
      <c r="D63" s="452">
        <f>$D$18</f>
        <v>10</v>
      </c>
      <c r="E63" s="373">
        <f t="shared" ref="E63:H63" si="4">$D$18</f>
        <v>10</v>
      </c>
      <c r="F63" s="373">
        <f t="shared" si="4"/>
        <v>10</v>
      </c>
      <c r="G63" s="373">
        <f t="shared" si="4"/>
        <v>10</v>
      </c>
      <c r="H63" s="373">
        <f t="shared" si="4"/>
        <v>10</v>
      </c>
    </row>
    <row r="64" spans="1:8" s="357" customFormat="1" ht="12">
      <c r="B64" s="477" t="s">
        <v>379</v>
      </c>
      <c r="C64" s="466" t="s">
        <v>380</v>
      </c>
      <c r="D64" s="448">
        <f>D62*D63/1000</f>
        <v>163.41499999999999</v>
      </c>
      <c r="E64" s="357">
        <f t="shared" ref="E64:H64" si="5">E62*E63/1000</f>
        <v>163.41499999999999</v>
      </c>
      <c r="F64" s="357">
        <f t="shared" si="5"/>
        <v>163.41499999999999</v>
      </c>
      <c r="G64" s="357">
        <f t="shared" si="5"/>
        <v>163.41499999999999</v>
      </c>
      <c r="H64" s="357">
        <f t="shared" si="5"/>
        <v>163.41499999999999</v>
      </c>
    </row>
    <row r="65" spans="2:8" s="357" customFormat="1" ht="12">
      <c r="C65" s="466"/>
      <c r="D65" s="448"/>
    </row>
    <row r="66" spans="2:8" s="357" customFormat="1" thickBot="1">
      <c r="B66" s="450" t="s">
        <v>410</v>
      </c>
      <c r="C66" s="466"/>
      <c r="D66" s="475" t="s">
        <v>321</v>
      </c>
      <c r="E66" s="476" t="s">
        <v>362</v>
      </c>
      <c r="F66" s="476" t="s">
        <v>363</v>
      </c>
      <c r="G66" s="476" t="s">
        <v>364</v>
      </c>
      <c r="H66" s="476" t="s">
        <v>322</v>
      </c>
    </row>
    <row r="67" spans="2:8" s="357" customFormat="1" ht="12">
      <c r="B67" s="477" t="s">
        <v>377</v>
      </c>
      <c r="C67" s="466" t="s">
        <v>275</v>
      </c>
      <c r="D67" s="452">
        <f>_xlfn.XLOOKUP(D66,Dashboard!$D$3:$H$3,Dashboard!$D$21:$H$21)</f>
        <v>84.5</v>
      </c>
      <c r="E67" s="373">
        <f>_xlfn.XLOOKUP(E66,Dashboard!$D$3:$H$3,Dashboard!$D$21:$H$21)</f>
        <v>84.5</v>
      </c>
      <c r="F67" s="373">
        <f>_xlfn.XLOOKUP(F66,Dashboard!$D$3:$H$3,Dashboard!$D$21:$H$21)</f>
        <v>84.5</v>
      </c>
      <c r="G67" s="373">
        <f>_xlfn.XLOOKUP(G66,Dashboard!$D$3:$H$3,Dashboard!$D$21:$H$21)</f>
        <v>84.5</v>
      </c>
      <c r="H67" s="373">
        <f>_xlfn.XLOOKUP(H66,Dashboard!$D$3:$H$3,Dashboard!$D$21:$H$21)</f>
        <v>84.5</v>
      </c>
    </row>
    <row r="68" spans="2:8" s="357" customFormat="1" ht="12">
      <c r="B68" s="477" t="s">
        <v>378</v>
      </c>
      <c r="C68" s="466" t="s">
        <v>8</v>
      </c>
      <c r="D68" s="452">
        <f>$D$19</f>
        <v>17</v>
      </c>
      <c r="E68" s="373">
        <f t="shared" ref="E68:H68" si="6">$D$19</f>
        <v>17</v>
      </c>
      <c r="F68" s="373">
        <f t="shared" si="6"/>
        <v>17</v>
      </c>
      <c r="G68" s="373">
        <f t="shared" si="6"/>
        <v>17</v>
      </c>
      <c r="H68" s="373">
        <f t="shared" si="6"/>
        <v>17</v>
      </c>
    </row>
    <row r="69" spans="2:8" s="357" customFormat="1" ht="12">
      <c r="B69" s="477" t="s">
        <v>379</v>
      </c>
      <c r="C69" s="466" t="s">
        <v>380</v>
      </c>
      <c r="D69" s="448">
        <f>D67*D68/1000</f>
        <v>1.4365000000000001</v>
      </c>
      <c r="E69" s="357">
        <f t="shared" ref="E69:H69" si="7">E67*E68/1000</f>
        <v>1.4365000000000001</v>
      </c>
      <c r="F69" s="357">
        <f t="shared" si="7"/>
        <v>1.4365000000000001</v>
      </c>
      <c r="G69" s="357">
        <f t="shared" si="7"/>
        <v>1.4365000000000001</v>
      </c>
      <c r="H69" s="357">
        <f t="shared" si="7"/>
        <v>1.4365000000000001</v>
      </c>
    </row>
    <row r="70" spans="2:8" s="357" customFormat="1" ht="12">
      <c r="C70" s="466"/>
      <c r="D70" s="448"/>
    </row>
    <row r="71" spans="2:8" s="357" customFormat="1" thickBot="1">
      <c r="B71" s="450" t="s">
        <v>381</v>
      </c>
      <c r="D71" s="475" t="s">
        <v>321</v>
      </c>
      <c r="E71" s="476" t="s">
        <v>362</v>
      </c>
      <c r="F71" s="476" t="s">
        <v>363</v>
      </c>
      <c r="G71" s="476" t="s">
        <v>364</v>
      </c>
      <c r="H71" s="476" t="s">
        <v>322</v>
      </c>
    </row>
    <row r="72" spans="2:8" s="357" customFormat="1" ht="12">
      <c r="B72" s="477" t="s">
        <v>338</v>
      </c>
      <c r="C72" s="426" t="s">
        <v>408</v>
      </c>
      <c r="D72" s="452">
        <f>_xlfn.XLOOKUP(D71,Dashboard!$D$3:$H$3,Dashboard!$D$17:$H$17)</f>
        <v>9</v>
      </c>
      <c r="E72" s="373">
        <f>_xlfn.XLOOKUP(E71,Dashboard!$D$3:$H$3,Dashboard!$D$17:$H$17)</f>
        <v>5</v>
      </c>
      <c r="F72" s="373">
        <f>_xlfn.XLOOKUP(F71,Dashboard!$D$3:$H$3,Dashboard!$D$17:$H$17)</f>
        <v>15</v>
      </c>
      <c r="G72" s="373">
        <f>_xlfn.XLOOKUP(G71,Dashboard!$D$3:$H$3,Dashboard!$D$17:$H$17)</f>
        <v>7</v>
      </c>
      <c r="H72" s="373">
        <f>_xlfn.XLOOKUP(H71,Dashboard!$D$3:$H$3,Dashboard!$D$17:$H$17)</f>
        <v>5</v>
      </c>
    </row>
    <row r="73" spans="2:8" s="357" customFormat="1" ht="12">
      <c r="B73" s="477" t="s">
        <v>339</v>
      </c>
      <c r="C73" s="426" t="s">
        <v>408</v>
      </c>
      <c r="D73" s="452">
        <f>_xlfn.XLOOKUP(D71,Dashboard!$D$3:$H$3,Dashboard!$D$24:$H$24)</f>
        <v>48</v>
      </c>
      <c r="E73" s="373">
        <f>_xlfn.XLOOKUP(E71,Dashboard!$D$3:$H$3,Dashboard!$D$24:$H$24)</f>
        <v>12</v>
      </c>
      <c r="F73" s="373">
        <f>_xlfn.XLOOKUP(F71,Dashboard!$D$3:$H$3,Dashboard!$D$24:$H$24)</f>
        <v>29</v>
      </c>
      <c r="G73" s="373">
        <f>_xlfn.XLOOKUP(G71,Dashboard!$D$3:$H$3,Dashboard!$D$24:$H$24)</f>
        <v>1</v>
      </c>
      <c r="H73" s="373">
        <f>_xlfn.XLOOKUP(H71,Dashboard!$D$3:$H$3,Dashboard!$D$24:$H$24)</f>
        <v>9</v>
      </c>
    </row>
    <row r="74" spans="2:8">
      <c r="D74" s="462"/>
    </row>
    <row r="75" spans="2:8" s="357" customFormat="1" ht="12">
      <c r="D75" s="448"/>
    </row>
    <row r="76" spans="2:8" s="357" customFormat="1" ht="12">
      <c r="D76" s="448"/>
    </row>
    <row r="77" spans="2:8" s="357" customFormat="1" ht="12">
      <c r="D77" s="448"/>
    </row>
    <row r="78" spans="2:8" s="443" customFormat="1" ht="12">
      <c r="B78" s="443" t="s">
        <v>384</v>
      </c>
      <c r="D78" s="478"/>
    </row>
    <row r="79" spans="2:8" s="357" customFormat="1" ht="12">
      <c r="D79" s="448"/>
    </row>
    <row r="80" spans="2:8" s="357" customFormat="1" ht="12">
      <c r="D80" s="448"/>
      <c r="H80" s="473"/>
    </row>
    <row r="81" spans="1:36" s="357" customFormat="1" ht="12">
      <c r="B81" s="447" t="s">
        <v>533</v>
      </c>
      <c r="C81" s="447"/>
      <c r="D81" s="479"/>
      <c r="E81" s="480">
        <f>SUM(E82:E86)</f>
        <v>0</v>
      </c>
      <c r="F81" s="480">
        <f t="shared" ref="F81:AI81" si="8">SUM(F82:F86)</f>
        <v>0</v>
      </c>
      <c r="G81" s="480">
        <f t="shared" si="8"/>
        <v>0</v>
      </c>
      <c r="H81" s="480">
        <f t="shared" si="8"/>
        <v>9804.9</v>
      </c>
      <c r="I81" s="480">
        <f t="shared" si="8"/>
        <v>17648.82</v>
      </c>
      <c r="J81" s="480">
        <f t="shared" si="8"/>
        <v>17648.82</v>
      </c>
      <c r="K81" s="480">
        <f t="shared" si="8"/>
        <v>33336.660000000003</v>
      </c>
      <c r="L81" s="480">
        <f t="shared" si="8"/>
        <v>54907.439999999995</v>
      </c>
      <c r="M81" s="480">
        <f t="shared" si="8"/>
        <v>66673.319999999992</v>
      </c>
      <c r="N81" s="480">
        <f t="shared" si="8"/>
        <v>70595.28</v>
      </c>
      <c r="O81" s="480">
        <f t="shared" si="8"/>
        <v>70595.28</v>
      </c>
      <c r="P81" s="480">
        <f t="shared" si="8"/>
        <v>70595.28</v>
      </c>
      <c r="Q81" s="480">
        <f t="shared" si="8"/>
        <v>70595.28</v>
      </c>
      <c r="R81" s="480">
        <f t="shared" si="8"/>
        <v>70595.28</v>
      </c>
      <c r="S81" s="480">
        <f t="shared" si="8"/>
        <v>70595.28</v>
      </c>
      <c r="T81" s="480">
        <f t="shared" si="8"/>
        <v>70595.28</v>
      </c>
      <c r="U81" s="480">
        <f t="shared" si="8"/>
        <v>70595.28</v>
      </c>
      <c r="V81" s="480">
        <f t="shared" si="8"/>
        <v>70595.28</v>
      </c>
      <c r="W81" s="480">
        <f t="shared" si="8"/>
        <v>70595.28</v>
      </c>
      <c r="X81" s="480">
        <f t="shared" si="8"/>
        <v>70595.28</v>
      </c>
      <c r="Y81" s="480">
        <f t="shared" si="8"/>
        <v>70595.28</v>
      </c>
      <c r="Z81" s="480">
        <f t="shared" si="8"/>
        <v>70595.28</v>
      </c>
      <c r="AA81" s="480">
        <f t="shared" si="8"/>
        <v>70595.28</v>
      </c>
      <c r="AB81" s="480">
        <f t="shared" si="8"/>
        <v>70595.28</v>
      </c>
      <c r="AC81" s="480">
        <f t="shared" si="8"/>
        <v>70595.28</v>
      </c>
      <c r="AD81" s="480">
        <f t="shared" si="8"/>
        <v>70595.28</v>
      </c>
      <c r="AE81" s="480">
        <f t="shared" si="8"/>
        <v>70595.28</v>
      </c>
      <c r="AF81" s="480">
        <f t="shared" si="8"/>
        <v>70595.28</v>
      </c>
      <c r="AG81" s="480">
        <f t="shared" si="8"/>
        <v>70595.28</v>
      </c>
      <c r="AH81" s="480">
        <f t="shared" si="8"/>
        <v>70595.28</v>
      </c>
      <c r="AI81" s="480">
        <f t="shared" si="8"/>
        <v>70595.28</v>
      </c>
    </row>
    <row r="82" spans="1:36" s="357" customFormat="1" ht="12">
      <c r="A82" s="357" cm="1">
        <f t="array" ref="A82:A86">D7:D11</f>
        <v>1</v>
      </c>
      <c r="B82" s="477" t="str">
        <f>B7</f>
        <v>ETE Atuba Sul</v>
      </c>
      <c r="D82" s="448"/>
      <c r="E82" s="481">
        <f t="shared" ref="E82:AI82" si="9">E153*$D$64*ROUNDUP($D$72*E160,0)*12</f>
        <v>0</v>
      </c>
      <c r="F82" s="481">
        <f t="shared" si="9"/>
        <v>0</v>
      </c>
      <c r="G82" s="481">
        <f t="shared" si="9"/>
        <v>0</v>
      </c>
      <c r="H82" s="481">
        <f>H153*$D$64*ROUNDUP($D$72*H160,0)*12</f>
        <v>9804.9</v>
      </c>
      <c r="I82" s="481">
        <f t="shared" si="9"/>
        <v>17648.82</v>
      </c>
      <c r="J82" s="481">
        <f t="shared" si="9"/>
        <v>17648.82</v>
      </c>
      <c r="K82" s="481">
        <f t="shared" si="9"/>
        <v>17648.82</v>
      </c>
      <c r="L82" s="481">
        <f t="shared" si="9"/>
        <v>17648.82</v>
      </c>
      <c r="M82" s="481">
        <f t="shared" si="9"/>
        <v>17648.82</v>
      </c>
      <c r="N82" s="481">
        <f t="shared" si="9"/>
        <v>17648.82</v>
      </c>
      <c r="O82" s="481">
        <f t="shared" si="9"/>
        <v>17648.82</v>
      </c>
      <c r="P82" s="481">
        <f t="shared" si="9"/>
        <v>17648.82</v>
      </c>
      <c r="Q82" s="481">
        <f t="shared" si="9"/>
        <v>17648.82</v>
      </c>
      <c r="R82" s="481">
        <f t="shared" si="9"/>
        <v>17648.82</v>
      </c>
      <c r="S82" s="481">
        <f t="shared" si="9"/>
        <v>17648.82</v>
      </c>
      <c r="T82" s="481">
        <f t="shared" si="9"/>
        <v>17648.82</v>
      </c>
      <c r="U82" s="481">
        <f t="shared" si="9"/>
        <v>17648.82</v>
      </c>
      <c r="V82" s="481">
        <f t="shared" si="9"/>
        <v>17648.82</v>
      </c>
      <c r="W82" s="481">
        <f t="shared" si="9"/>
        <v>17648.82</v>
      </c>
      <c r="X82" s="481">
        <f t="shared" si="9"/>
        <v>17648.82</v>
      </c>
      <c r="Y82" s="481">
        <f t="shared" si="9"/>
        <v>17648.82</v>
      </c>
      <c r="Z82" s="481">
        <f t="shared" si="9"/>
        <v>17648.82</v>
      </c>
      <c r="AA82" s="481">
        <f t="shared" si="9"/>
        <v>17648.82</v>
      </c>
      <c r="AB82" s="481">
        <f t="shared" si="9"/>
        <v>17648.82</v>
      </c>
      <c r="AC82" s="481">
        <f t="shared" si="9"/>
        <v>17648.82</v>
      </c>
      <c r="AD82" s="481">
        <f t="shared" si="9"/>
        <v>17648.82</v>
      </c>
      <c r="AE82" s="481">
        <f t="shared" si="9"/>
        <v>17648.82</v>
      </c>
      <c r="AF82" s="481">
        <f t="shared" si="9"/>
        <v>17648.82</v>
      </c>
      <c r="AG82" s="481">
        <f t="shared" si="9"/>
        <v>17648.82</v>
      </c>
      <c r="AH82" s="481">
        <f t="shared" si="9"/>
        <v>17648.82</v>
      </c>
      <c r="AI82" s="481">
        <f t="shared" si="9"/>
        <v>17648.82</v>
      </c>
    </row>
    <row r="83" spans="1:36" s="357" customFormat="1" ht="12">
      <c r="A83" s="357">
        <v>0</v>
      </c>
      <c r="B83" s="477" t="str">
        <f>B8</f>
        <v>ETE Cafezal</v>
      </c>
      <c r="D83" s="448"/>
      <c r="E83" s="481">
        <f t="shared" ref="E83:AI83" si="10">E154*$E$64*ROUNDUP($E$72*E161,0)*12</f>
        <v>0</v>
      </c>
      <c r="F83" s="481">
        <f t="shared" si="10"/>
        <v>0</v>
      </c>
      <c r="G83" s="481">
        <f t="shared" si="10"/>
        <v>0</v>
      </c>
      <c r="H83" s="481">
        <f t="shared" si="10"/>
        <v>0</v>
      </c>
      <c r="I83" s="481">
        <f t="shared" si="10"/>
        <v>0</v>
      </c>
      <c r="J83" s="481">
        <f t="shared" si="10"/>
        <v>0</v>
      </c>
      <c r="K83" s="481">
        <f t="shared" si="10"/>
        <v>0</v>
      </c>
      <c r="L83" s="481">
        <f t="shared" si="10"/>
        <v>0</v>
      </c>
      <c r="M83" s="481">
        <f t="shared" si="10"/>
        <v>0</v>
      </c>
      <c r="N83" s="481">
        <f t="shared" si="10"/>
        <v>0</v>
      </c>
      <c r="O83" s="481">
        <f t="shared" si="10"/>
        <v>0</v>
      </c>
      <c r="P83" s="481">
        <f t="shared" si="10"/>
        <v>0</v>
      </c>
      <c r="Q83" s="481">
        <f t="shared" si="10"/>
        <v>0</v>
      </c>
      <c r="R83" s="481">
        <f t="shared" si="10"/>
        <v>0</v>
      </c>
      <c r="S83" s="481">
        <f t="shared" si="10"/>
        <v>0</v>
      </c>
      <c r="T83" s="481">
        <f t="shared" si="10"/>
        <v>0</v>
      </c>
      <c r="U83" s="481">
        <f t="shared" si="10"/>
        <v>0</v>
      </c>
      <c r="V83" s="481">
        <f t="shared" si="10"/>
        <v>0</v>
      </c>
      <c r="W83" s="481">
        <f t="shared" si="10"/>
        <v>0</v>
      </c>
      <c r="X83" s="481">
        <f t="shared" si="10"/>
        <v>0</v>
      </c>
      <c r="Y83" s="481">
        <f t="shared" si="10"/>
        <v>0</v>
      </c>
      <c r="Z83" s="481">
        <f t="shared" si="10"/>
        <v>0</v>
      </c>
      <c r="AA83" s="481">
        <f t="shared" si="10"/>
        <v>0</v>
      </c>
      <c r="AB83" s="481">
        <f t="shared" si="10"/>
        <v>0</v>
      </c>
      <c r="AC83" s="481">
        <f t="shared" si="10"/>
        <v>0</v>
      </c>
      <c r="AD83" s="481">
        <f t="shared" si="10"/>
        <v>0</v>
      </c>
      <c r="AE83" s="481">
        <f t="shared" si="10"/>
        <v>0</v>
      </c>
      <c r="AF83" s="481">
        <f t="shared" si="10"/>
        <v>0</v>
      </c>
      <c r="AG83" s="481">
        <f t="shared" si="10"/>
        <v>0</v>
      </c>
      <c r="AH83" s="481">
        <f t="shared" si="10"/>
        <v>0</v>
      </c>
      <c r="AI83" s="481">
        <f t="shared" si="10"/>
        <v>0</v>
      </c>
    </row>
    <row r="84" spans="1:36" s="357" customFormat="1" ht="12">
      <c r="A84" s="357">
        <v>1</v>
      </c>
      <c r="B84" s="477" t="str">
        <f>B9</f>
        <v>ETE CIC-Xisto</v>
      </c>
      <c r="D84" s="448"/>
      <c r="E84" s="481">
        <f t="shared" ref="E84:AI84" si="11">E155*$F$64*ROUNDUP($F$72*E162,0)*12</f>
        <v>0</v>
      </c>
      <c r="F84" s="481">
        <f t="shared" si="11"/>
        <v>0</v>
      </c>
      <c r="G84" s="481">
        <f t="shared" si="11"/>
        <v>0</v>
      </c>
      <c r="H84" s="481">
        <f t="shared" si="11"/>
        <v>0</v>
      </c>
      <c r="I84" s="481">
        <f t="shared" si="11"/>
        <v>0</v>
      </c>
      <c r="J84" s="481">
        <f t="shared" si="11"/>
        <v>0</v>
      </c>
      <c r="K84" s="481">
        <f t="shared" si="11"/>
        <v>15687.84</v>
      </c>
      <c r="L84" s="481">
        <f t="shared" si="11"/>
        <v>29414.699999999997</v>
      </c>
      <c r="M84" s="481">
        <f t="shared" si="11"/>
        <v>29414.699999999997</v>
      </c>
      <c r="N84" s="481">
        <f t="shared" si="11"/>
        <v>29414.699999999997</v>
      </c>
      <c r="O84" s="481">
        <f t="shared" si="11"/>
        <v>29414.699999999997</v>
      </c>
      <c r="P84" s="481">
        <f t="shared" si="11"/>
        <v>29414.699999999997</v>
      </c>
      <c r="Q84" s="481">
        <f t="shared" si="11"/>
        <v>29414.699999999997</v>
      </c>
      <c r="R84" s="481">
        <f t="shared" si="11"/>
        <v>29414.699999999997</v>
      </c>
      <c r="S84" s="481">
        <f t="shared" si="11"/>
        <v>29414.699999999997</v>
      </c>
      <c r="T84" s="481">
        <f t="shared" si="11"/>
        <v>29414.699999999997</v>
      </c>
      <c r="U84" s="481">
        <f t="shared" si="11"/>
        <v>29414.699999999997</v>
      </c>
      <c r="V84" s="481">
        <f t="shared" si="11"/>
        <v>29414.699999999997</v>
      </c>
      <c r="W84" s="481">
        <f t="shared" si="11"/>
        <v>29414.699999999997</v>
      </c>
      <c r="X84" s="481">
        <f t="shared" si="11"/>
        <v>29414.699999999997</v>
      </c>
      <c r="Y84" s="481">
        <f t="shared" si="11"/>
        <v>29414.699999999997</v>
      </c>
      <c r="Z84" s="481">
        <f t="shared" si="11"/>
        <v>29414.699999999997</v>
      </c>
      <c r="AA84" s="481">
        <f t="shared" si="11"/>
        <v>29414.699999999997</v>
      </c>
      <c r="AB84" s="481">
        <f t="shared" si="11"/>
        <v>29414.699999999997</v>
      </c>
      <c r="AC84" s="481">
        <f t="shared" si="11"/>
        <v>29414.699999999997</v>
      </c>
      <c r="AD84" s="481">
        <f t="shared" si="11"/>
        <v>29414.699999999997</v>
      </c>
      <c r="AE84" s="481">
        <f t="shared" si="11"/>
        <v>29414.699999999997</v>
      </c>
      <c r="AF84" s="481">
        <f t="shared" si="11"/>
        <v>29414.699999999997</v>
      </c>
      <c r="AG84" s="481">
        <f t="shared" si="11"/>
        <v>29414.699999999997</v>
      </c>
      <c r="AH84" s="481">
        <f t="shared" si="11"/>
        <v>29414.699999999997</v>
      </c>
      <c r="AI84" s="481">
        <f t="shared" si="11"/>
        <v>29414.699999999997</v>
      </c>
    </row>
    <row r="85" spans="1:36" s="357" customFormat="1" ht="12">
      <c r="A85" s="357">
        <v>1</v>
      </c>
      <c r="B85" s="477" t="str">
        <f>B10</f>
        <v>ETE Rio Toledo</v>
      </c>
      <c r="D85" s="448"/>
      <c r="E85" s="481">
        <f t="shared" ref="E85:AI85" si="12">E156*$G$64*ROUNDUP($G$72*E163,0)*12</f>
        <v>0</v>
      </c>
      <c r="F85" s="481">
        <f t="shared" si="12"/>
        <v>0</v>
      </c>
      <c r="G85" s="481">
        <f t="shared" si="12"/>
        <v>0</v>
      </c>
      <c r="H85" s="481">
        <f t="shared" si="12"/>
        <v>0</v>
      </c>
      <c r="I85" s="481">
        <f t="shared" si="12"/>
        <v>0</v>
      </c>
      <c r="J85" s="481">
        <f t="shared" si="12"/>
        <v>0</v>
      </c>
      <c r="K85" s="481">
        <f t="shared" si="12"/>
        <v>0</v>
      </c>
      <c r="L85" s="481">
        <f t="shared" si="12"/>
        <v>7843.92</v>
      </c>
      <c r="M85" s="481">
        <f t="shared" si="12"/>
        <v>13726.86</v>
      </c>
      <c r="N85" s="481">
        <f t="shared" si="12"/>
        <v>13726.86</v>
      </c>
      <c r="O85" s="481">
        <f t="shared" si="12"/>
        <v>13726.86</v>
      </c>
      <c r="P85" s="481">
        <f t="shared" si="12"/>
        <v>13726.86</v>
      </c>
      <c r="Q85" s="481">
        <f t="shared" si="12"/>
        <v>13726.86</v>
      </c>
      <c r="R85" s="481">
        <f t="shared" si="12"/>
        <v>13726.86</v>
      </c>
      <c r="S85" s="481">
        <f t="shared" si="12"/>
        <v>13726.86</v>
      </c>
      <c r="T85" s="481">
        <f t="shared" si="12"/>
        <v>13726.86</v>
      </c>
      <c r="U85" s="481">
        <f t="shared" si="12"/>
        <v>13726.86</v>
      </c>
      <c r="V85" s="481">
        <f t="shared" si="12"/>
        <v>13726.86</v>
      </c>
      <c r="W85" s="481">
        <f t="shared" si="12"/>
        <v>13726.86</v>
      </c>
      <c r="X85" s="481">
        <f t="shared" si="12"/>
        <v>13726.86</v>
      </c>
      <c r="Y85" s="481">
        <f t="shared" si="12"/>
        <v>13726.86</v>
      </c>
      <c r="Z85" s="481">
        <f t="shared" si="12"/>
        <v>13726.86</v>
      </c>
      <c r="AA85" s="481">
        <f t="shared" si="12"/>
        <v>13726.86</v>
      </c>
      <c r="AB85" s="481">
        <f t="shared" si="12"/>
        <v>13726.86</v>
      </c>
      <c r="AC85" s="481">
        <f t="shared" si="12"/>
        <v>13726.86</v>
      </c>
      <c r="AD85" s="481">
        <f t="shared" si="12"/>
        <v>13726.86</v>
      </c>
      <c r="AE85" s="481">
        <f t="shared" si="12"/>
        <v>13726.86</v>
      </c>
      <c r="AF85" s="481">
        <f t="shared" si="12"/>
        <v>13726.86</v>
      </c>
      <c r="AG85" s="481">
        <f t="shared" si="12"/>
        <v>13726.86</v>
      </c>
      <c r="AH85" s="481">
        <f t="shared" si="12"/>
        <v>13726.86</v>
      </c>
      <c r="AI85" s="481">
        <f t="shared" si="12"/>
        <v>13726.86</v>
      </c>
    </row>
    <row r="86" spans="1:36" s="357" customFormat="1" ht="12">
      <c r="A86" s="357">
        <v>1</v>
      </c>
      <c r="B86" s="477" t="str">
        <f>B11</f>
        <v>ETE Verde</v>
      </c>
      <c r="D86" s="448"/>
      <c r="E86" s="481">
        <f t="shared" ref="E86:AI86" si="13">E157*$H$64*ROUNDUP($H$72*E164,0)*12</f>
        <v>0</v>
      </c>
      <c r="F86" s="481">
        <f t="shared" si="13"/>
        <v>0</v>
      </c>
      <c r="G86" s="481">
        <f t="shared" si="13"/>
        <v>0</v>
      </c>
      <c r="H86" s="481">
        <f t="shared" si="13"/>
        <v>0</v>
      </c>
      <c r="I86" s="481">
        <f t="shared" si="13"/>
        <v>0</v>
      </c>
      <c r="J86" s="481">
        <f t="shared" si="13"/>
        <v>0</v>
      </c>
      <c r="K86" s="481">
        <f t="shared" si="13"/>
        <v>0</v>
      </c>
      <c r="L86" s="481">
        <f t="shared" si="13"/>
        <v>0</v>
      </c>
      <c r="M86" s="481">
        <f t="shared" si="13"/>
        <v>5882.9400000000005</v>
      </c>
      <c r="N86" s="481">
        <f t="shared" si="13"/>
        <v>9804.9</v>
      </c>
      <c r="O86" s="481">
        <f t="shared" si="13"/>
        <v>9804.9</v>
      </c>
      <c r="P86" s="481">
        <f t="shared" si="13"/>
        <v>9804.9</v>
      </c>
      <c r="Q86" s="481">
        <f t="shared" si="13"/>
        <v>9804.9</v>
      </c>
      <c r="R86" s="481">
        <f t="shared" si="13"/>
        <v>9804.9</v>
      </c>
      <c r="S86" s="481">
        <f t="shared" si="13"/>
        <v>9804.9</v>
      </c>
      <c r="T86" s="481">
        <f t="shared" si="13"/>
        <v>9804.9</v>
      </c>
      <c r="U86" s="481">
        <f t="shared" si="13"/>
        <v>9804.9</v>
      </c>
      <c r="V86" s="481">
        <f t="shared" si="13"/>
        <v>9804.9</v>
      </c>
      <c r="W86" s="481">
        <f t="shared" si="13"/>
        <v>9804.9</v>
      </c>
      <c r="X86" s="481">
        <f t="shared" si="13"/>
        <v>9804.9</v>
      </c>
      <c r="Y86" s="481">
        <f t="shared" si="13"/>
        <v>9804.9</v>
      </c>
      <c r="Z86" s="481">
        <f t="shared" si="13"/>
        <v>9804.9</v>
      </c>
      <c r="AA86" s="481">
        <f t="shared" si="13"/>
        <v>9804.9</v>
      </c>
      <c r="AB86" s="481">
        <f t="shared" si="13"/>
        <v>9804.9</v>
      </c>
      <c r="AC86" s="481">
        <f t="shared" si="13"/>
        <v>9804.9</v>
      </c>
      <c r="AD86" s="481">
        <f t="shared" si="13"/>
        <v>9804.9</v>
      </c>
      <c r="AE86" s="481">
        <f t="shared" si="13"/>
        <v>9804.9</v>
      </c>
      <c r="AF86" s="481">
        <f t="shared" si="13"/>
        <v>9804.9</v>
      </c>
      <c r="AG86" s="481">
        <f t="shared" si="13"/>
        <v>9804.9</v>
      </c>
      <c r="AH86" s="481">
        <f t="shared" si="13"/>
        <v>9804.9</v>
      </c>
      <c r="AI86" s="481">
        <f t="shared" si="13"/>
        <v>9804.9</v>
      </c>
    </row>
    <row r="87" spans="1:36" s="357" customFormat="1" ht="12">
      <c r="D87" s="448"/>
    </row>
    <row r="88" spans="1:36" s="357" customFormat="1" ht="12">
      <c r="B88" s="447" t="s">
        <v>534</v>
      </c>
      <c r="C88" s="447"/>
      <c r="D88" s="479"/>
      <c r="E88" s="480">
        <f>SUM(E89:E93)</f>
        <v>0</v>
      </c>
      <c r="F88" s="480">
        <f t="shared" ref="F88:AI88" si="14">SUM(F89:F93)</f>
        <v>0</v>
      </c>
      <c r="G88" s="480">
        <f t="shared" si="14"/>
        <v>0</v>
      </c>
      <c r="H88" s="480">
        <f t="shared" si="14"/>
        <v>413.71199999999999</v>
      </c>
      <c r="I88" s="480">
        <f t="shared" si="14"/>
        <v>827.42399999999998</v>
      </c>
      <c r="J88" s="480">
        <f t="shared" si="14"/>
        <v>827.42399999999998</v>
      </c>
      <c r="K88" s="480">
        <f t="shared" si="14"/>
        <v>1085.9940000000001</v>
      </c>
      <c r="L88" s="480">
        <f t="shared" si="14"/>
        <v>1344.5640000000001</v>
      </c>
      <c r="M88" s="480">
        <f t="shared" si="14"/>
        <v>1430.7540000000001</v>
      </c>
      <c r="N88" s="480">
        <f t="shared" si="14"/>
        <v>1499.7060000000001</v>
      </c>
      <c r="O88" s="480">
        <f t="shared" si="14"/>
        <v>1499.7060000000001</v>
      </c>
      <c r="P88" s="480">
        <f t="shared" si="14"/>
        <v>1499.7060000000001</v>
      </c>
      <c r="Q88" s="480">
        <f t="shared" si="14"/>
        <v>1499.7060000000001</v>
      </c>
      <c r="R88" s="480">
        <f t="shared" si="14"/>
        <v>1499.7060000000001</v>
      </c>
      <c r="S88" s="480">
        <f t="shared" si="14"/>
        <v>1499.7060000000001</v>
      </c>
      <c r="T88" s="480">
        <f t="shared" si="14"/>
        <v>1499.7060000000001</v>
      </c>
      <c r="U88" s="480">
        <f t="shared" si="14"/>
        <v>1499.7060000000001</v>
      </c>
      <c r="V88" s="480">
        <f t="shared" si="14"/>
        <v>1499.7060000000001</v>
      </c>
      <c r="W88" s="480">
        <f t="shared" si="14"/>
        <v>1499.7060000000001</v>
      </c>
      <c r="X88" s="480">
        <f t="shared" si="14"/>
        <v>1499.7060000000001</v>
      </c>
      <c r="Y88" s="480">
        <f t="shared" si="14"/>
        <v>1499.7060000000001</v>
      </c>
      <c r="Z88" s="480">
        <f t="shared" si="14"/>
        <v>1499.7060000000001</v>
      </c>
      <c r="AA88" s="480">
        <f t="shared" si="14"/>
        <v>1499.7060000000001</v>
      </c>
      <c r="AB88" s="480">
        <f t="shared" si="14"/>
        <v>1499.7060000000001</v>
      </c>
      <c r="AC88" s="480">
        <f t="shared" si="14"/>
        <v>1499.7060000000001</v>
      </c>
      <c r="AD88" s="480">
        <f t="shared" si="14"/>
        <v>1499.7060000000001</v>
      </c>
      <c r="AE88" s="480">
        <f t="shared" si="14"/>
        <v>1499.7060000000001</v>
      </c>
      <c r="AF88" s="480">
        <f t="shared" si="14"/>
        <v>1499.7060000000001</v>
      </c>
      <c r="AG88" s="480">
        <f t="shared" si="14"/>
        <v>1499.7060000000001</v>
      </c>
      <c r="AH88" s="480">
        <f t="shared" si="14"/>
        <v>1499.7060000000001</v>
      </c>
      <c r="AI88" s="480">
        <f t="shared" si="14"/>
        <v>1499.7060000000001</v>
      </c>
      <c r="AJ88" s="447"/>
    </row>
    <row r="89" spans="1:36" s="357" customFormat="1" ht="12">
      <c r="B89" s="477" t="str" cm="1">
        <f t="array" ref="B89">_xlfn.ANCHORARRAY(B82)</f>
        <v>ETE Atuba Sul</v>
      </c>
      <c r="D89" s="448"/>
      <c r="E89" s="481">
        <f t="shared" ref="E89:AI89" si="15">E153*$D$69*ROUNDUP($D$73*E167,0)*12</f>
        <v>0</v>
      </c>
      <c r="F89" s="481">
        <f t="shared" si="15"/>
        <v>0</v>
      </c>
      <c r="G89" s="481">
        <f t="shared" si="15"/>
        <v>0</v>
      </c>
      <c r="H89" s="481">
        <f t="shared" si="15"/>
        <v>413.71199999999999</v>
      </c>
      <c r="I89" s="481">
        <f t="shared" si="15"/>
        <v>827.42399999999998</v>
      </c>
      <c r="J89" s="481">
        <f t="shared" si="15"/>
        <v>827.42399999999998</v>
      </c>
      <c r="K89" s="481">
        <f t="shared" si="15"/>
        <v>827.42399999999998</v>
      </c>
      <c r="L89" s="481">
        <f t="shared" si="15"/>
        <v>827.42399999999998</v>
      </c>
      <c r="M89" s="481">
        <f t="shared" si="15"/>
        <v>827.42399999999998</v>
      </c>
      <c r="N89" s="481">
        <f t="shared" si="15"/>
        <v>827.42399999999998</v>
      </c>
      <c r="O89" s="481">
        <f t="shared" si="15"/>
        <v>827.42399999999998</v>
      </c>
      <c r="P89" s="481">
        <f t="shared" si="15"/>
        <v>827.42399999999998</v>
      </c>
      <c r="Q89" s="481">
        <f t="shared" si="15"/>
        <v>827.42399999999998</v>
      </c>
      <c r="R89" s="481">
        <f t="shared" si="15"/>
        <v>827.42399999999998</v>
      </c>
      <c r="S89" s="481">
        <f t="shared" si="15"/>
        <v>827.42399999999998</v>
      </c>
      <c r="T89" s="481">
        <f t="shared" si="15"/>
        <v>827.42399999999998</v>
      </c>
      <c r="U89" s="481">
        <f t="shared" si="15"/>
        <v>827.42399999999998</v>
      </c>
      <c r="V89" s="481">
        <f t="shared" si="15"/>
        <v>827.42399999999998</v>
      </c>
      <c r="W89" s="481">
        <f t="shared" si="15"/>
        <v>827.42399999999998</v>
      </c>
      <c r="X89" s="481">
        <f t="shared" si="15"/>
        <v>827.42399999999998</v>
      </c>
      <c r="Y89" s="481">
        <f t="shared" si="15"/>
        <v>827.42399999999998</v>
      </c>
      <c r="Z89" s="481">
        <f t="shared" si="15"/>
        <v>827.42399999999998</v>
      </c>
      <c r="AA89" s="481">
        <f t="shared" si="15"/>
        <v>827.42399999999998</v>
      </c>
      <c r="AB89" s="481">
        <f t="shared" si="15"/>
        <v>827.42399999999998</v>
      </c>
      <c r="AC89" s="481">
        <f t="shared" si="15"/>
        <v>827.42399999999998</v>
      </c>
      <c r="AD89" s="481">
        <f t="shared" si="15"/>
        <v>827.42399999999998</v>
      </c>
      <c r="AE89" s="481">
        <f t="shared" si="15"/>
        <v>827.42399999999998</v>
      </c>
      <c r="AF89" s="481">
        <f t="shared" si="15"/>
        <v>827.42399999999998</v>
      </c>
      <c r="AG89" s="481">
        <f t="shared" si="15"/>
        <v>827.42399999999998</v>
      </c>
      <c r="AH89" s="481">
        <f t="shared" si="15"/>
        <v>827.42399999999998</v>
      </c>
      <c r="AI89" s="481">
        <f t="shared" si="15"/>
        <v>827.42399999999998</v>
      </c>
      <c r="AJ89" s="481"/>
    </row>
    <row r="90" spans="1:36" s="357" customFormat="1" ht="12">
      <c r="B90" s="477" t="str" cm="1">
        <f t="array" ref="B90">_xlfn.ANCHORARRAY(B83)</f>
        <v>ETE Cafezal</v>
      </c>
      <c r="D90" s="448"/>
      <c r="E90" s="481">
        <f t="shared" ref="E90:AI90" si="16">E154*$E$69*ROUNDUP($E$73*E168,0)*12</f>
        <v>0</v>
      </c>
      <c r="F90" s="481">
        <f t="shared" si="16"/>
        <v>0</v>
      </c>
      <c r="G90" s="481">
        <f t="shared" si="16"/>
        <v>0</v>
      </c>
      <c r="H90" s="481">
        <f t="shared" si="16"/>
        <v>0</v>
      </c>
      <c r="I90" s="481">
        <f t="shared" si="16"/>
        <v>0</v>
      </c>
      <c r="J90" s="481">
        <f t="shared" si="16"/>
        <v>0</v>
      </c>
      <c r="K90" s="481">
        <f t="shared" si="16"/>
        <v>0</v>
      </c>
      <c r="L90" s="481">
        <f t="shared" si="16"/>
        <v>0</v>
      </c>
      <c r="M90" s="481">
        <f t="shared" si="16"/>
        <v>0</v>
      </c>
      <c r="N90" s="481">
        <f t="shared" si="16"/>
        <v>0</v>
      </c>
      <c r="O90" s="481">
        <f t="shared" si="16"/>
        <v>0</v>
      </c>
      <c r="P90" s="481">
        <f t="shared" si="16"/>
        <v>0</v>
      </c>
      <c r="Q90" s="481">
        <f t="shared" si="16"/>
        <v>0</v>
      </c>
      <c r="R90" s="481">
        <f t="shared" si="16"/>
        <v>0</v>
      </c>
      <c r="S90" s="481">
        <f t="shared" si="16"/>
        <v>0</v>
      </c>
      <c r="T90" s="481">
        <f t="shared" si="16"/>
        <v>0</v>
      </c>
      <c r="U90" s="481">
        <f t="shared" si="16"/>
        <v>0</v>
      </c>
      <c r="V90" s="481">
        <f t="shared" si="16"/>
        <v>0</v>
      </c>
      <c r="W90" s="481">
        <f t="shared" si="16"/>
        <v>0</v>
      </c>
      <c r="X90" s="481">
        <f t="shared" si="16"/>
        <v>0</v>
      </c>
      <c r="Y90" s="481">
        <f t="shared" si="16"/>
        <v>0</v>
      </c>
      <c r="Z90" s="481">
        <f t="shared" si="16"/>
        <v>0</v>
      </c>
      <c r="AA90" s="481">
        <f t="shared" si="16"/>
        <v>0</v>
      </c>
      <c r="AB90" s="481">
        <f t="shared" si="16"/>
        <v>0</v>
      </c>
      <c r="AC90" s="481">
        <f t="shared" si="16"/>
        <v>0</v>
      </c>
      <c r="AD90" s="481">
        <f t="shared" si="16"/>
        <v>0</v>
      </c>
      <c r="AE90" s="481">
        <f t="shared" si="16"/>
        <v>0</v>
      </c>
      <c r="AF90" s="481">
        <f t="shared" si="16"/>
        <v>0</v>
      </c>
      <c r="AG90" s="481">
        <f t="shared" si="16"/>
        <v>0</v>
      </c>
      <c r="AH90" s="481">
        <f t="shared" si="16"/>
        <v>0</v>
      </c>
      <c r="AI90" s="481">
        <f t="shared" si="16"/>
        <v>0</v>
      </c>
      <c r="AJ90" s="481"/>
    </row>
    <row r="91" spans="1:36" s="357" customFormat="1" ht="12">
      <c r="B91" s="477" t="str" cm="1">
        <f t="array" ref="B91">_xlfn.ANCHORARRAY(B84)</f>
        <v>ETE CIC-Xisto</v>
      </c>
      <c r="D91" s="448"/>
      <c r="E91" s="481">
        <f t="shared" ref="E91:AI91" si="17">E155*$F$69*ROUNDUP($F$73*E169,0)*12</f>
        <v>0</v>
      </c>
      <c r="F91" s="481">
        <f t="shared" si="17"/>
        <v>0</v>
      </c>
      <c r="G91" s="481">
        <f t="shared" si="17"/>
        <v>0</v>
      </c>
      <c r="H91" s="481">
        <f t="shared" si="17"/>
        <v>0</v>
      </c>
      <c r="I91" s="481">
        <f t="shared" si="17"/>
        <v>0</v>
      </c>
      <c r="J91" s="481">
        <f t="shared" si="17"/>
        <v>0</v>
      </c>
      <c r="K91" s="481">
        <f t="shared" si="17"/>
        <v>258.57000000000005</v>
      </c>
      <c r="L91" s="481">
        <f t="shared" si="17"/>
        <v>499.90200000000004</v>
      </c>
      <c r="M91" s="481">
        <f t="shared" si="17"/>
        <v>499.90200000000004</v>
      </c>
      <c r="N91" s="481">
        <f t="shared" si="17"/>
        <v>499.90200000000004</v>
      </c>
      <c r="O91" s="481">
        <f t="shared" si="17"/>
        <v>499.90200000000004</v>
      </c>
      <c r="P91" s="481">
        <f t="shared" si="17"/>
        <v>499.90200000000004</v>
      </c>
      <c r="Q91" s="481">
        <f t="shared" si="17"/>
        <v>499.90200000000004</v>
      </c>
      <c r="R91" s="481">
        <f t="shared" si="17"/>
        <v>499.90200000000004</v>
      </c>
      <c r="S91" s="481">
        <f t="shared" si="17"/>
        <v>499.90200000000004</v>
      </c>
      <c r="T91" s="481">
        <f t="shared" si="17"/>
        <v>499.90200000000004</v>
      </c>
      <c r="U91" s="481">
        <f t="shared" si="17"/>
        <v>499.90200000000004</v>
      </c>
      <c r="V91" s="481">
        <f t="shared" si="17"/>
        <v>499.90200000000004</v>
      </c>
      <c r="W91" s="481">
        <f t="shared" si="17"/>
        <v>499.90200000000004</v>
      </c>
      <c r="X91" s="481">
        <f t="shared" si="17"/>
        <v>499.90200000000004</v>
      </c>
      <c r="Y91" s="481">
        <f t="shared" si="17"/>
        <v>499.90200000000004</v>
      </c>
      <c r="Z91" s="481">
        <f t="shared" si="17"/>
        <v>499.90200000000004</v>
      </c>
      <c r="AA91" s="481">
        <f t="shared" si="17"/>
        <v>499.90200000000004</v>
      </c>
      <c r="AB91" s="481">
        <f t="shared" si="17"/>
        <v>499.90200000000004</v>
      </c>
      <c r="AC91" s="481">
        <f t="shared" si="17"/>
        <v>499.90200000000004</v>
      </c>
      <c r="AD91" s="481">
        <f t="shared" si="17"/>
        <v>499.90200000000004</v>
      </c>
      <c r="AE91" s="481">
        <f t="shared" si="17"/>
        <v>499.90200000000004</v>
      </c>
      <c r="AF91" s="481">
        <f t="shared" si="17"/>
        <v>499.90200000000004</v>
      </c>
      <c r="AG91" s="481">
        <f t="shared" si="17"/>
        <v>499.90200000000004</v>
      </c>
      <c r="AH91" s="481">
        <f t="shared" si="17"/>
        <v>499.90200000000004</v>
      </c>
      <c r="AI91" s="481">
        <f t="shared" si="17"/>
        <v>499.90200000000004</v>
      </c>
      <c r="AJ91" s="481"/>
    </row>
    <row r="92" spans="1:36" s="357" customFormat="1" ht="12">
      <c r="B92" s="477" t="str" cm="1">
        <f t="array" ref="B92">_xlfn.ANCHORARRAY(B85)</f>
        <v>ETE Rio Toledo</v>
      </c>
      <c r="D92" s="448"/>
      <c r="E92" s="481">
        <f t="shared" ref="E92:AI92" si="18">E156*$G$69*ROUNDUP($G$73*E170,0)*12</f>
        <v>0</v>
      </c>
      <c r="F92" s="481">
        <f t="shared" si="18"/>
        <v>0</v>
      </c>
      <c r="G92" s="481">
        <f t="shared" si="18"/>
        <v>0</v>
      </c>
      <c r="H92" s="481">
        <f t="shared" si="18"/>
        <v>0</v>
      </c>
      <c r="I92" s="481">
        <f t="shared" si="18"/>
        <v>0</v>
      </c>
      <c r="J92" s="481">
        <f t="shared" si="18"/>
        <v>0</v>
      </c>
      <c r="K92" s="481">
        <f t="shared" si="18"/>
        <v>0</v>
      </c>
      <c r="L92" s="481">
        <f t="shared" si="18"/>
        <v>17.238</v>
      </c>
      <c r="M92" s="481">
        <f t="shared" si="18"/>
        <v>17.238</v>
      </c>
      <c r="N92" s="481">
        <f t="shared" si="18"/>
        <v>17.238</v>
      </c>
      <c r="O92" s="481">
        <f t="shared" si="18"/>
        <v>17.238</v>
      </c>
      <c r="P92" s="481">
        <f t="shared" si="18"/>
        <v>17.238</v>
      </c>
      <c r="Q92" s="481">
        <f t="shared" si="18"/>
        <v>17.238</v>
      </c>
      <c r="R92" s="481">
        <f t="shared" si="18"/>
        <v>17.238</v>
      </c>
      <c r="S92" s="481">
        <f t="shared" si="18"/>
        <v>17.238</v>
      </c>
      <c r="T92" s="481">
        <f t="shared" si="18"/>
        <v>17.238</v>
      </c>
      <c r="U92" s="481">
        <f t="shared" si="18"/>
        <v>17.238</v>
      </c>
      <c r="V92" s="481">
        <f t="shared" si="18"/>
        <v>17.238</v>
      </c>
      <c r="W92" s="481">
        <f t="shared" si="18"/>
        <v>17.238</v>
      </c>
      <c r="X92" s="481">
        <f t="shared" si="18"/>
        <v>17.238</v>
      </c>
      <c r="Y92" s="481">
        <f t="shared" si="18"/>
        <v>17.238</v>
      </c>
      <c r="Z92" s="481">
        <f t="shared" si="18"/>
        <v>17.238</v>
      </c>
      <c r="AA92" s="481">
        <f t="shared" si="18"/>
        <v>17.238</v>
      </c>
      <c r="AB92" s="481">
        <f t="shared" si="18"/>
        <v>17.238</v>
      </c>
      <c r="AC92" s="481">
        <f t="shared" si="18"/>
        <v>17.238</v>
      </c>
      <c r="AD92" s="481">
        <f t="shared" si="18"/>
        <v>17.238</v>
      </c>
      <c r="AE92" s="481">
        <f t="shared" si="18"/>
        <v>17.238</v>
      </c>
      <c r="AF92" s="481">
        <f t="shared" si="18"/>
        <v>17.238</v>
      </c>
      <c r="AG92" s="481">
        <f t="shared" si="18"/>
        <v>17.238</v>
      </c>
      <c r="AH92" s="481">
        <f t="shared" si="18"/>
        <v>17.238</v>
      </c>
      <c r="AI92" s="481">
        <f t="shared" si="18"/>
        <v>17.238</v>
      </c>
      <c r="AJ92" s="481"/>
    </row>
    <row r="93" spans="1:36" s="357" customFormat="1" ht="12">
      <c r="B93" s="477" t="str" cm="1">
        <f t="array" ref="B93">_xlfn.ANCHORARRAY(B86)</f>
        <v>ETE Verde</v>
      </c>
      <c r="D93" s="448"/>
      <c r="E93" s="481">
        <f t="shared" ref="E93:AI93" si="19">E157*$H$69*ROUNDUP($H$73*E171,0)*12</f>
        <v>0</v>
      </c>
      <c r="F93" s="481">
        <f t="shared" si="19"/>
        <v>0</v>
      </c>
      <c r="G93" s="481">
        <f t="shared" si="19"/>
        <v>0</v>
      </c>
      <c r="H93" s="481">
        <f t="shared" si="19"/>
        <v>0</v>
      </c>
      <c r="I93" s="481">
        <f t="shared" si="19"/>
        <v>0</v>
      </c>
      <c r="J93" s="481">
        <f t="shared" si="19"/>
        <v>0</v>
      </c>
      <c r="K93" s="481">
        <f t="shared" si="19"/>
        <v>0</v>
      </c>
      <c r="L93" s="481">
        <f t="shared" si="19"/>
        <v>0</v>
      </c>
      <c r="M93" s="481">
        <f t="shared" si="19"/>
        <v>86.190000000000012</v>
      </c>
      <c r="N93" s="481">
        <f t="shared" si="19"/>
        <v>155.14200000000002</v>
      </c>
      <c r="O93" s="481">
        <f t="shared" si="19"/>
        <v>155.14200000000002</v>
      </c>
      <c r="P93" s="481">
        <f t="shared" si="19"/>
        <v>155.14200000000002</v>
      </c>
      <c r="Q93" s="481">
        <f t="shared" si="19"/>
        <v>155.14200000000002</v>
      </c>
      <c r="R93" s="481">
        <f t="shared" si="19"/>
        <v>155.14200000000002</v>
      </c>
      <c r="S93" s="481">
        <f t="shared" si="19"/>
        <v>155.14200000000002</v>
      </c>
      <c r="T93" s="481">
        <f t="shared" si="19"/>
        <v>155.14200000000002</v>
      </c>
      <c r="U93" s="481">
        <f t="shared" si="19"/>
        <v>155.14200000000002</v>
      </c>
      <c r="V93" s="481">
        <f t="shared" si="19"/>
        <v>155.14200000000002</v>
      </c>
      <c r="W93" s="481">
        <f t="shared" si="19"/>
        <v>155.14200000000002</v>
      </c>
      <c r="X93" s="481">
        <f t="shared" si="19"/>
        <v>155.14200000000002</v>
      </c>
      <c r="Y93" s="481">
        <f t="shared" si="19"/>
        <v>155.14200000000002</v>
      </c>
      <c r="Z93" s="481">
        <f t="shared" si="19"/>
        <v>155.14200000000002</v>
      </c>
      <c r="AA93" s="481">
        <f t="shared" si="19"/>
        <v>155.14200000000002</v>
      </c>
      <c r="AB93" s="481">
        <f t="shared" si="19"/>
        <v>155.14200000000002</v>
      </c>
      <c r="AC93" s="481">
        <f t="shared" si="19"/>
        <v>155.14200000000002</v>
      </c>
      <c r="AD93" s="481">
        <f t="shared" si="19"/>
        <v>155.14200000000002</v>
      </c>
      <c r="AE93" s="481">
        <f t="shared" si="19"/>
        <v>155.14200000000002</v>
      </c>
      <c r="AF93" s="481">
        <f t="shared" si="19"/>
        <v>155.14200000000002</v>
      </c>
      <c r="AG93" s="481">
        <f t="shared" si="19"/>
        <v>155.14200000000002</v>
      </c>
      <c r="AH93" s="481">
        <f t="shared" si="19"/>
        <v>155.14200000000002</v>
      </c>
      <c r="AI93" s="481">
        <f t="shared" si="19"/>
        <v>155.14200000000002</v>
      </c>
      <c r="AJ93" s="481"/>
    </row>
    <row r="94" spans="1:36" s="357" customFormat="1" ht="12" customHeight="1">
      <c r="D94" s="448"/>
    </row>
    <row r="95" spans="1:36" s="357" customFormat="1" ht="12">
      <c r="B95" s="447" t="s">
        <v>385</v>
      </c>
      <c r="C95" s="447"/>
      <c r="D95" s="479"/>
      <c r="E95" s="480">
        <f>E81+E88</f>
        <v>0</v>
      </c>
      <c r="F95" s="480">
        <f t="shared" ref="F95:AI95" si="20">F81+F88</f>
        <v>0</v>
      </c>
      <c r="G95" s="480">
        <f t="shared" si="20"/>
        <v>0</v>
      </c>
      <c r="H95" s="480">
        <f t="shared" si="20"/>
        <v>10218.611999999999</v>
      </c>
      <c r="I95" s="480">
        <f>I81+I88</f>
        <v>18476.243999999999</v>
      </c>
      <c r="J95" s="480">
        <f t="shared" si="20"/>
        <v>18476.243999999999</v>
      </c>
      <c r="K95" s="480">
        <f t="shared" si="20"/>
        <v>34422.654000000002</v>
      </c>
      <c r="L95" s="480">
        <f t="shared" si="20"/>
        <v>56252.003999999994</v>
      </c>
      <c r="M95" s="480">
        <f t="shared" si="20"/>
        <v>68104.073999999993</v>
      </c>
      <c r="N95" s="480">
        <f t="shared" si="20"/>
        <v>72094.986000000004</v>
      </c>
      <c r="O95" s="480">
        <f t="shared" si="20"/>
        <v>72094.986000000004</v>
      </c>
      <c r="P95" s="480">
        <f t="shared" si="20"/>
        <v>72094.986000000004</v>
      </c>
      <c r="Q95" s="480">
        <f t="shared" si="20"/>
        <v>72094.986000000004</v>
      </c>
      <c r="R95" s="480">
        <f t="shared" si="20"/>
        <v>72094.986000000004</v>
      </c>
      <c r="S95" s="480">
        <f t="shared" si="20"/>
        <v>72094.986000000004</v>
      </c>
      <c r="T95" s="480">
        <f t="shared" si="20"/>
        <v>72094.986000000004</v>
      </c>
      <c r="U95" s="480">
        <f t="shared" si="20"/>
        <v>72094.986000000004</v>
      </c>
      <c r="V95" s="480">
        <f t="shared" si="20"/>
        <v>72094.986000000004</v>
      </c>
      <c r="W95" s="480">
        <f t="shared" si="20"/>
        <v>72094.986000000004</v>
      </c>
      <c r="X95" s="480">
        <f t="shared" si="20"/>
        <v>72094.986000000004</v>
      </c>
      <c r="Y95" s="480">
        <f t="shared" si="20"/>
        <v>72094.986000000004</v>
      </c>
      <c r="Z95" s="480">
        <f t="shared" si="20"/>
        <v>72094.986000000004</v>
      </c>
      <c r="AA95" s="480">
        <f t="shared" si="20"/>
        <v>72094.986000000004</v>
      </c>
      <c r="AB95" s="480">
        <f t="shared" si="20"/>
        <v>72094.986000000004</v>
      </c>
      <c r="AC95" s="480">
        <f t="shared" si="20"/>
        <v>72094.986000000004</v>
      </c>
      <c r="AD95" s="480">
        <f t="shared" si="20"/>
        <v>72094.986000000004</v>
      </c>
      <c r="AE95" s="480">
        <f t="shared" si="20"/>
        <v>72094.986000000004</v>
      </c>
      <c r="AF95" s="480">
        <f t="shared" si="20"/>
        <v>72094.986000000004</v>
      </c>
      <c r="AG95" s="480">
        <f t="shared" si="20"/>
        <v>72094.986000000004</v>
      </c>
      <c r="AH95" s="480">
        <f t="shared" si="20"/>
        <v>72094.986000000004</v>
      </c>
      <c r="AI95" s="480">
        <f t="shared" si="20"/>
        <v>72094.986000000004</v>
      </c>
      <c r="AJ95" s="447"/>
    </row>
    <row r="96" spans="1:36" s="357" customFormat="1" ht="12">
      <c r="D96" s="448"/>
      <c r="E96" s="482"/>
      <c r="F96" s="482"/>
      <c r="G96" s="482"/>
      <c r="H96" s="482"/>
      <c r="I96" s="482"/>
      <c r="J96" s="482"/>
      <c r="K96" s="482"/>
      <c r="L96" s="482"/>
      <c r="M96" s="482"/>
      <c r="N96" s="482"/>
      <c r="O96" s="482"/>
      <c r="P96" s="482"/>
      <c r="Q96" s="482"/>
      <c r="R96" s="482"/>
      <c r="S96" s="482"/>
      <c r="T96" s="482"/>
      <c r="U96" s="482"/>
      <c r="V96" s="482"/>
      <c r="W96" s="482"/>
      <c r="X96" s="482"/>
      <c r="Y96" s="482"/>
      <c r="Z96" s="482"/>
      <c r="AA96" s="482"/>
      <c r="AB96" s="482"/>
      <c r="AC96" s="482"/>
      <c r="AD96" s="482"/>
      <c r="AE96" s="482"/>
      <c r="AF96" s="482"/>
      <c r="AG96" s="482"/>
      <c r="AH96" s="482"/>
      <c r="AI96" s="482"/>
    </row>
    <row r="97" spans="1:36" s="357" customFormat="1" ht="12">
      <c r="D97" s="448"/>
      <c r="E97" s="482"/>
      <c r="F97" s="482"/>
      <c r="G97" s="482"/>
      <c r="H97" s="482"/>
      <c r="I97" s="482"/>
      <c r="J97" s="482"/>
      <c r="K97" s="482"/>
      <c r="L97" s="482"/>
      <c r="M97" s="482"/>
      <c r="N97" s="482"/>
      <c r="O97" s="482"/>
      <c r="P97" s="482"/>
      <c r="Q97" s="482"/>
      <c r="R97" s="482"/>
      <c r="S97" s="482"/>
      <c r="T97" s="482"/>
      <c r="U97" s="482"/>
      <c r="V97" s="482"/>
      <c r="W97" s="482"/>
      <c r="X97" s="482"/>
      <c r="Y97" s="482"/>
      <c r="Z97" s="482"/>
      <c r="AA97" s="482"/>
      <c r="AB97" s="482"/>
      <c r="AC97" s="482"/>
      <c r="AD97" s="482"/>
      <c r="AE97" s="482"/>
      <c r="AF97" s="482"/>
      <c r="AG97" s="482"/>
      <c r="AH97" s="482"/>
      <c r="AI97" s="482"/>
    </row>
    <row r="98" spans="1:36" s="447" customFormat="1" ht="12">
      <c r="A98" s="357"/>
      <c r="B98" s="447" t="s">
        <v>462</v>
      </c>
      <c r="D98" s="479"/>
      <c r="E98" s="483">
        <f>'Premissas Técnicas'!$D$52*E150</f>
        <v>0</v>
      </c>
      <c r="F98" s="483">
        <f>'Premissas Técnicas'!$D$52*F150</f>
        <v>0</v>
      </c>
      <c r="G98" s="483">
        <f>'Premissas Técnicas'!$D$52*G150</f>
        <v>0</v>
      </c>
      <c r="H98" s="483">
        <f>'Premissas Técnicas'!$D$52*H150</f>
        <v>1238.8811538461539</v>
      </c>
      <c r="I98" s="483">
        <f>'Premissas Técnicas'!$D$52*I150</f>
        <v>1238.8811538461539</v>
      </c>
      <c r="J98" s="483">
        <f>'Premissas Técnicas'!$D$52*J150</f>
        <v>1238.8811538461539</v>
      </c>
      <c r="K98" s="483">
        <f>'Premissas Técnicas'!$D$52*K150</f>
        <v>1238.8811538461539</v>
      </c>
      <c r="L98" s="483">
        <f>'Premissas Técnicas'!$D$52*L150</f>
        <v>1238.8811538461539</v>
      </c>
      <c r="M98" s="483">
        <f>'Premissas Técnicas'!$D$52*M150</f>
        <v>1238.8811538461539</v>
      </c>
      <c r="N98" s="483">
        <f>'Premissas Técnicas'!$D$52*N150</f>
        <v>1238.8811538461539</v>
      </c>
      <c r="O98" s="483">
        <f>'Premissas Técnicas'!$D$52*O150</f>
        <v>1238.8811538461539</v>
      </c>
      <c r="P98" s="483">
        <f>'Premissas Técnicas'!$D$52*P150</f>
        <v>1238.8811538461539</v>
      </c>
      <c r="Q98" s="483">
        <f>'Premissas Técnicas'!$D$52*Q150</f>
        <v>1238.8811538461539</v>
      </c>
      <c r="R98" s="483">
        <f>'Premissas Técnicas'!$D$52*R150</f>
        <v>1238.8811538461539</v>
      </c>
      <c r="S98" s="483">
        <f>'Premissas Técnicas'!$D$52*S150</f>
        <v>1238.8811538461539</v>
      </c>
      <c r="T98" s="483">
        <f>'Premissas Técnicas'!$D$52*T150</f>
        <v>1238.8811538461539</v>
      </c>
      <c r="U98" s="483">
        <f>'Premissas Técnicas'!$D$52*U150</f>
        <v>1238.8811538461539</v>
      </c>
      <c r="V98" s="483">
        <f>'Premissas Técnicas'!$D$52*V150</f>
        <v>1238.8811538461539</v>
      </c>
      <c r="W98" s="483">
        <f>'Premissas Técnicas'!$D$52*W150</f>
        <v>1238.8811538461539</v>
      </c>
      <c r="X98" s="483">
        <f>'Premissas Técnicas'!$D$52*X150</f>
        <v>1238.8811538461539</v>
      </c>
      <c r="Y98" s="483">
        <f>'Premissas Técnicas'!$D$52*Y150</f>
        <v>1238.8811538461539</v>
      </c>
      <c r="Z98" s="483">
        <f>'Premissas Técnicas'!$D$52*Z150</f>
        <v>1238.8811538461539</v>
      </c>
      <c r="AA98" s="483">
        <f>'Premissas Técnicas'!$D$52*AA150</f>
        <v>1238.8811538461539</v>
      </c>
      <c r="AB98" s="483">
        <f>'Premissas Técnicas'!$D$52*AB150</f>
        <v>1238.8811538461539</v>
      </c>
      <c r="AC98" s="483">
        <f>'Premissas Técnicas'!$D$52*AC150</f>
        <v>1238.8811538461539</v>
      </c>
      <c r="AD98" s="483">
        <f>'Premissas Técnicas'!$D$52*AD150</f>
        <v>1238.8811538461539</v>
      </c>
      <c r="AE98" s="483">
        <f>'Premissas Técnicas'!$D$52*AE150</f>
        <v>1238.8811538461539</v>
      </c>
      <c r="AF98" s="483">
        <f>'Premissas Técnicas'!$D$52*AF150</f>
        <v>1238.8811538461539</v>
      </c>
      <c r="AG98" s="483">
        <f>'Premissas Técnicas'!$D$52*AG150</f>
        <v>1238.8811538461539</v>
      </c>
      <c r="AH98" s="483">
        <f>'Premissas Técnicas'!$D$52*AH150</f>
        <v>1238.8811538461539</v>
      </c>
      <c r="AI98" s="483">
        <f>'Premissas Técnicas'!$D$52*AI150</f>
        <v>1238.8811538461539</v>
      </c>
      <c r="AJ98" s="484"/>
    </row>
    <row r="99" spans="1:36" s="357" customFormat="1" ht="12">
      <c r="D99" s="448"/>
    </row>
    <row r="100" spans="1:36" s="357" customFormat="1" ht="12">
      <c r="D100" s="448"/>
    </row>
    <row r="101" spans="1:36" s="357" customFormat="1" ht="12">
      <c r="B101" s="447" t="s">
        <v>220</v>
      </c>
      <c r="C101" s="447"/>
      <c r="D101" s="479"/>
      <c r="E101" s="485">
        <f>SUM(E102:E106)</f>
        <v>0</v>
      </c>
      <c r="F101" s="485">
        <f t="shared" ref="F101:AI101" si="21">SUM(F102:F106)</f>
        <v>0</v>
      </c>
      <c r="G101" s="485">
        <f t="shared" si="21"/>
        <v>0</v>
      </c>
      <c r="H101" s="485">
        <f t="shared" si="21"/>
        <v>2775.0479655897439</v>
      </c>
      <c r="I101" s="485">
        <f t="shared" si="21"/>
        <v>4207.0356775897444</v>
      </c>
      <c r="J101" s="485">
        <f t="shared" si="21"/>
        <v>4207.0356775897444</v>
      </c>
      <c r="K101" s="485">
        <f t="shared" si="21"/>
        <v>8007.5971151794884</v>
      </c>
      <c r="L101" s="485">
        <f t="shared" si="21"/>
        <v>12849.831128769232</v>
      </c>
      <c r="M101" s="485">
        <f t="shared" si="21"/>
        <v>15937.989622358975</v>
      </c>
      <c r="N101" s="485">
        <f t="shared" si="21"/>
        <v>16639.619830358977</v>
      </c>
      <c r="O101" s="485">
        <f t="shared" si="21"/>
        <v>16639.619830358977</v>
      </c>
      <c r="P101" s="485">
        <f t="shared" si="21"/>
        <v>16639.619830358977</v>
      </c>
      <c r="Q101" s="485">
        <f t="shared" si="21"/>
        <v>16639.619830358977</v>
      </c>
      <c r="R101" s="485">
        <f t="shared" si="21"/>
        <v>16639.619830358977</v>
      </c>
      <c r="S101" s="485">
        <f t="shared" si="21"/>
        <v>16639.619830358977</v>
      </c>
      <c r="T101" s="485">
        <f t="shared" si="21"/>
        <v>16639.619830358977</v>
      </c>
      <c r="U101" s="485">
        <f t="shared" si="21"/>
        <v>16639.619830358977</v>
      </c>
      <c r="V101" s="485">
        <f t="shared" si="21"/>
        <v>16639.619830358977</v>
      </c>
      <c r="W101" s="485">
        <f t="shared" si="21"/>
        <v>16639.619830358977</v>
      </c>
      <c r="X101" s="485">
        <f t="shared" si="21"/>
        <v>16639.619830358977</v>
      </c>
      <c r="Y101" s="485">
        <f t="shared" si="21"/>
        <v>16639.619830358977</v>
      </c>
      <c r="Z101" s="485">
        <f t="shared" si="21"/>
        <v>16639.619830358977</v>
      </c>
      <c r="AA101" s="485">
        <f t="shared" si="21"/>
        <v>16639.619830358977</v>
      </c>
      <c r="AB101" s="485">
        <f t="shared" si="21"/>
        <v>16639.619830358977</v>
      </c>
      <c r="AC101" s="485">
        <f t="shared" si="21"/>
        <v>16639.619830358977</v>
      </c>
      <c r="AD101" s="485">
        <f t="shared" si="21"/>
        <v>16639.619830358977</v>
      </c>
      <c r="AE101" s="485">
        <f t="shared" si="21"/>
        <v>16639.619830358977</v>
      </c>
      <c r="AF101" s="485">
        <f t="shared" si="21"/>
        <v>16639.619830358977</v>
      </c>
      <c r="AG101" s="485">
        <f t="shared" si="21"/>
        <v>16639.619830358977</v>
      </c>
      <c r="AH101" s="485">
        <f t="shared" si="21"/>
        <v>16639.619830358977</v>
      </c>
      <c r="AI101" s="485">
        <f t="shared" si="21"/>
        <v>16639.619830358977</v>
      </c>
      <c r="AJ101" s="484"/>
    </row>
    <row r="102" spans="1:36" s="357" customFormat="1" ht="14.45" customHeight="1">
      <c r="B102" s="477" t="str">
        <f>B109</f>
        <v>ETE Atuba Sul</v>
      </c>
      <c r="D102" s="448"/>
      <c r="E102" s="486">
        <f>('Premissas Técnicas'!$D$65+'Premissas Técnicas'!$D$67*E177)*E153*$D$14</f>
        <v>0</v>
      </c>
      <c r="F102" s="486">
        <f>('Premissas Técnicas'!$D$65+'Premissas Técnicas'!$D$67*F177)*F153*$D$14</f>
        <v>0</v>
      </c>
      <c r="G102" s="486">
        <f>('Premissas Técnicas'!$D$65+'Premissas Técnicas'!$D$67*G177)*G153*$D$14</f>
        <v>0</v>
      </c>
      <c r="H102" s="486">
        <f>('Premissas Técnicas'!$D$65+'Premissas Técnicas'!$D$67*H177)*H153*$D$14</f>
        <v>2775.0479655897439</v>
      </c>
      <c r="I102" s="486">
        <f>('Premissas Técnicas'!$D$65+'Premissas Técnicas'!$D$67*I177)*I153*$D$14</f>
        <v>4207.0356775897444</v>
      </c>
      <c r="J102" s="486">
        <f>('Premissas Técnicas'!$D$65+'Premissas Técnicas'!$D$67*J177)*J153*$D$14</f>
        <v>4207.0356775897444</v>
      </c>
      <c r="K102" s="486">
        <f>('Premissas Técnicas'!$D$65+'Premissas Técnicas'!$D$67*K177)*K153*$D$14</f>
        <v>4207.0356775897444</v>
      </c>
      <c r="L102" s="486">
        <f>('Premissas Técnicas'!$D$65+'Premissas Técnicas'!$D$67*L177)*L153*$D$14</f>
        <v>4207.0356775897444</v>
      </c>
      <c r="M102" s="486">
        <f>('Premissas Técnicas'!$D$65+'Premissas Técnicas'!$D$67*M177)*M153*$D$14</f>
        <v>4207.0356775897444</v>
      </c>
      <c r="N102" s="486">
        <f>('Premissas Técnicas'!$D$65+'Premissas Técnicas'!$D$67*N177)*N153*$D$14</f>
        <v>4207.0356775897444</v>
      </c>
      <c r="O102" s="486">
        <f>('Premissas Técnicas'!$D$65+'Premissas Técnicas'!$D$67*O177)*O153*$D$14</f>
        <v>4207.0356775897444</v>
      </c>
      <c r="P102" s="486">
        <f>('Premissas Técnicas'!$D$65+'Premissas Técnicas'!$D$67*P177)*P153*$D$14</f>
        <v>4207.0356775897444</v>
      </c>
      <c r="Q102" s="486">
        <f>('Premissas Técnicas'!$D$65+'Premissas Técnicas'!$D$67*Q177)*Q153*$D$14</f>
        <v>4207.0356775897444</v>
      </c>
      <c r="R102" s="486">
        <f>('Premissas Técnicas'!$D$65+'Premissas Técnicas'!$D$67*R177)*R153*$D$14</f>
        <v>4207.0356775897444</v>
      </c>
      <c r="S102" s="486">
        <f>('Premissas Técnicas'!$D$65+'Premissas Técnicas'!$D$67*S177)*S153*$D$14</f>
        <v>4207.0356775897444</v>
      </c>
      <c r="T102" s="486">
        <f>('Premissas Técnicas'!$D$65+'Premissas Técnicas'!$D$67*T177)*T153*$D$14</f>
        <v>4207.0356775897444</v>
      </c>
      <c r="U102" s="486">
        <f>('Premissas Técnicas'!$D$65+'Premissas Técnicas'!$D$67*U177)*U153*$D$14</f>
        <v>4207.0356775897444</v>
      </c>
      <c r="V102" s="486">
        <f>('Premissas Técnicas'!$D$65+'Premissas Técnicas'!$D$67*V177)*V153*$D$14</f>
        <v>4207.0356775897444</v>
      </c>
      <c r="W102" s="486">
        <f>('Premissas Técnicas'!$D$65+'Premissas Técnicas'!$D$67*W177)*W153*$D$14</f>
        <v>4207.0356775897444</v>
      </c>
      <c r="X102" s="486">
        <f>('Premissas Técnicas'!$D$65+'Premissas Técnicas'!$D$67*X177)*X153*$D$14</f>
        <v>4207.0356775897444</v>
      </c>
      <c r="Y102" s="486">
        <f>('Premissas Técnicas'!$D$65+'Premissas Técnicas'!$D$67*Y177)*Y153*$D$14</f>
        <v>4207.0356775897444</v>
      </c>
      <c r="Z102" s="486">
        <f>('Premissas Técnicas'!$D$65+'Premissas Técnicas'!$D$67*Z177)*Z153*$D$14</f>
        <v>4207.0356775897444</v>
      </c>
      <c r="AA102" s="486">
        <f>('Premissas Técnicas'!$D$65+'Premissas Técnicas'!$D$67*AA177)*AA153*$D$14</f>
        <v>4207.0356775897444</v>
      </c>
      <c r="AB102" s="486">
        <f>('Premissas Técnicas'!$D$65+'Premissas Técnicas'!$D$67*AB177)*AB153*$D$14</f>
        <v>4207.0356775897444</v>
      </c>
      <c r="AC102" s="486">
        <f>('Premissas Técnicas'!$D$65+'Premissas Técnicas'!$D$67*AC177)*AC153*$D$14</f>
        <v>4207.0356775897444</v>
      </c>
      <c r="AD102" s="486">
        <f>('Premissas Técnicas'!$D$65+'Premissas Técnicas'!$D$67*AD177)*AD153*$D$14</f>
        <v>4207.0356775897444</v>
      </c>
      <c r="AE102" s="486">
        <f>('Premissas Técnicas'!$D$65+'Premissas Técnicas'!$D$67*AE177)*AE153*$D$14</f>
        <v>4207.0356775897444</v>
      </c>
      <c r="AF102" s="486">
        <f>('Premissas Técnicas'!$D$65+'Premissas Técnicas'!$D$67*AF177)*AF153*$D$14</f>
        <v>4207.0356775897444</v>
      </c>
      <c r="AG102" s="486">
        <f>('Premissas Técnicas'!$D$65+'Premissas Técnicas'!$D$67*AG177)*AG153*$D$14</f>
        <v>4207.0356775897444</v>
      </c>
      <c r="AH102" s="486">
        <f>('Premissas Técnicas'!$D$65+'Premissas Técnicas'!$D$67*AH177)*AH153*$D$14</f>
        <v>4207.0356775897444</v>
      </c>
      <c r="AI102" s="486">
        <f>('Premissas Técnicas'!$D$65+'Premissas Técnicas'!$D$67*AI177)*AI153*$D$14</f>
        <v>4207.0356775897444</v>
      </c>
      <c r="AJ102" s="231"/>
    </row>
    <row r="103" spans="1:36" s="357" customFormat="1" ht="12">
      <c r="B103" s="477" t="str">
        <f>B110</f>
        <v>ETE Cafezal</v>
      </c>
      <c r="D103" s="448"/>
      <c r="E103" s="486">
        <f>('Premissas Técnicas'!$D$65+'Premissas Técnicas'!$D$67*E178)*E154*$D$14</f>
        <v>0</v>
      </c>
      <c r="F103" s="486">
        <f>('Premissas Técnicas'!$D$65+'Premissas Técnicas'!$D$67*F178)*F154*$D$14</f>
        <v>0</v>
      </c>
      <c r="G103" s="486">
        <f>('Premissas Técnicas'!$D$65+'Premissas Técnicas'!$D$67*G178)*G154*$D$14</f>
        <v>0</v>
      </c>
      <c r="H103" s="486">
        <f>('Premissas Técnicas'!$D$65+'Premissas Técnicas'!$D$67*H178)*H154*$D$14</f>
        <v>0</v>
      </c>
      <c r="I103" s="486">
        <f>('Premissas Técnicas'!$D$65+'Premissas Técnicas'!$D$67*I178)*I154*$D$14</f>
        <v>0</v>
      </c>
      <c r="J103" s="486">
        <f>('Premissas Técnicas'!$D$65+'Premissas Técnicas'!$D$67*J178)*J154*$D$14</f>
        <v>0</v>
      </c>
      <c r="K103" s="486">
        <f>('Premissas Técnicas'!$D$65+'Premissas Técnicas'!$D$67*K178)*K154*$D$14</f>
        <v>0</v>
      </c>
      <c r="L103" s="486">
        <f>('Premissas Técnicas'!$D$65+'Premissas Técnicas'!$D$67*L178)*L154*$D$14</f>
        <v>0</v>
      </c>
      <c r="M103" s="486">
        <f>('Premissas Técnicas'!$D$65+'Premissas Técnicas'!$D$67*M178)*M154*$D$14</f>
        <v>0</v>
      </c>
      <c r="N103" s="486">
        <f>('Premissas Técnicas'!$D$65+'Premissas Técnicas'!$D$67*N178)*N154*$D$14</f>
        <v>0</v>
      </c>
      <c r="O103" s="486">
        <f>('Premissas Técnicas'!$D$65+'Premissas Técnicas'!$D$67*O178)*O154*$D$14</f>
        <v>0</v>
      </c>
      <c r="P103" s="486">
        <f>('Premissas Técnicas'!$D$65+'Premissas Técnicas'!$D$67*P178)*P154*$D$14</f>
        <v>0</v>
      </c>
      <c r="Q103" s="486">
        <f>('Premissas Técnicas'!$D$65+'Premissas Técnicas'!$D$67*Q178)*Q154*$D$14</f>
        <v>0</v>
      </c>
      <c r="R103" s="486">
        <f>('Premissas Técnicas'!$D$65+'Premissas Técnicas'!$D$67*R178)*R154*$D$14</f>
        <v>0</v>
      </c>
      <c r="S103" s="486">
        <f>('Premissas Técnicas'!$D$65+'Premissas Técnicas'!$D$67*S178)*S154*$D$14</f>
        <v>0</v>
      </c>
      <c r="T103" s="486">
        <f>('Premissas Técnicas'!$D$65+'Premissas Técnicas'!$D$67*T178)*T154*$D$14</f>
        <v>0</v>
      </c>
      <c r="U103" s="486">
        <f>('Premissas Técnicas'!$D$65+'Premissas Técnicas'!$D$67*U178)*U154*$D$14</f>
        <v>0</v>
      </c>
      <c r="V103" s="486">
        <f>('Premissas Técnicas'!$D$65+'Premissas Técnicas'!$D$67*V178)*V154*$D$14</f>
        <v>0</v>
      </c>
      <c r="W103" s="486">
        <f>('Premissas Técnicas'!$D$65+'Premissas Técnicas'!$D$67*W178)*W154*$D$14</f>
        <v>0</v>
      </c>
      <c r="X103" s="486">
        <f>('Premissas Técnicas'!$D$65+'Premissas Técnicas'!$D$67*X178)*X154*$D$14</f>
        <v>0</v>
      </c>
      <c r="Y103" s="486">
        <f>('Premissas Técnicas'!$D$65+'Premissas Técnicas'!$D$67*Y178)*Y154*$D$14</f>
        <v>0</v>
      </c>
      <c r="Z103" s="486">
        <f>('Premissas Técnicas'!$D$65+'Premissas Técnicas'!$D$67*Z178)*Z154*$D$14</f>
        <v>0</v>
      </c>
      <c r="AA103" s="486">
        <f>('Premissas Técnicas'!$D$65+'Premissas Técnicas'!$D$67*AA178)*AA154*$D$14</f>
        <v>0</v>
      </c>
      <c r="AB103" s="486">
        <f>('Premissas Técnicas'!$D$65+'Premissas Técnicas'!$D$67*AB178)*AB154*$D$14</f>
        <v>0</v>
      </c>
      <c r="AC103" s="486">
        <f>('Premissas Técnicas'!$D$65+'Premissas Técnicas'!$D$67*AC178)*AC154*$D$14</f>
        <v>0</v>
      </c>
      <c r="AD103" s="486">
        <f>('Premissas Técnicas'!$D$65+'Premissas Técnicas'!$D$67*AD178)*AD154*$D$14</f>
        <v>0</v>
      </c>
      <c r="AE103" s="486">
        <f>('Premissas Técnicas'!$D$65+'Premissas Técnicas'!$D$67*AE178)*AE154*$D$14</f>
        <v>0</v>
      </c>
      <c r="AF103" s="486">
        <f>('Premissas Técnicas'!$D$65+'Premissas Técnicas'!$D$67*AF178)*AF154*$D$14</f>
        <v>0</v>
      </c>
      <c r="AG103" s="486">
        <f>('Premissas Técnicas'!$D$65+'Premissas Técnicas'!$D$67*AG178)*AG154*$D$14</f>
        <v>0</v>
      </c>
      <c r="AH103" s="486">
        <f>('Premissas Técnicas'!$D$65+'Premissas Técnicas'!$D$67*AH178)*AH154*$D$14</f>
        <v>0</v>
      </c>
      <c r="AI103" s="486">
        <f>('Premissas Técnicas'!$D$65+'Premissas Técnicas'!$D$67*AI178)*AI154*$D$14</f>
        <v>0</v>
      </c>
      <c r="AJ103" s="231"/>
    </row>
    <row r="104" spans="1:36" s="357" customFormat="1" ht="12">
      <c r="B104" s="477" t="str">
        <f>B111</f>
        <v>ETE CIC-Xisto</v>
      </c>
      <c r="D104" s="448"/>
      <c r="E104" s="486">
        <f>('Premissas Técnicas'!$D$65+'Premissas Técnicas'!$D$67*E179)*E155*$D$14</f>
        <v>0</v>
      </c>
      <c r="F104" s="486">
        <f>('Premissas Técnicas'!$D$65+'Premissas Técnicas'!$D$67*F179)*F155*$D$14</f>
        <v>0</v>
      </c>
      <c r="G104" s="486">
        <f>('Premissas Técnicas'!$D$65+'Premissas Técnicas'!$D$67*G179)*G155*$D$14</f>
        <v>0</v>
      </c>
      <c r="H104" s="486">
        <f>('Premissas Técnicas'!$D$65+'Premissas Técnicas'!$D$67*H179)*H155*$D$14</f>
        <v>0</v>
      </c>
      <c r="I104" s="486">
        <f>('Premissas Técnicas'!$D$65+'Premissas Técnicas'!$D$67*I179)*I155*$D$14</f>
        <v>0</v>
      </c>
      <c r="J104" s="486">
        <f>('Premissas Técnicas'!$D$65+'Premissas Técnicas'!$D$67*J179)*J155*$D$14</f>
        <v>0</v>
      </c>
      <c r="K104" s="486">
        <f>('Premissas Técnicas'!$D$65+'Premissas Técnicas'!$D$67*K179)*K155*$D$14</f>
        <v>3800.5614375897439</v>
      </c>
      <c r="L104" s="486">
        <f>('Premissas Técnicas'!$D$65+'Premissas Técnicas'!$D$67*L179)*L155*$D$14</f>
        <v>6256.2671655897448</v>
      </c>
      <c r="M104" s="486">
        <f>('Premissas Técnicas'!$D$65+'Premissas Técnicas'!$D$67*M179)*M155*$D$14</f>
        <v>6256.2671655897448</v>
      </c>
      <c r="N104" s="486">
        <f>('Premissas Técnicas'!$D$65+'Premissas Técnicas'!$D$67*N179)*N155*$D$14</f>
        <v>6256.2671655897448</v>
      </c>
      <c r="O104" s="486">
        <f>('Premissas Técnicas'!$D$65+'Premissas Técnicas'!$D$67*O179)*O155*$D$14</f>
        <v>6256.2671655897448</v>
      </c>
      <c r="P104" s="486">
        <f>('Premissas Técnicas'!$D$65+'Premissas Técnicas'!$D$67*P179)*P155*$D$14</f>
        <v>6256.2671655897448</v>
      </c>
      <c r="Q104" s="486">
        <f>('Premissas Técnicas'!$D$65+'Premissas Técnicas'!$D$67*Q179)*Q155*$D$14</f>
        <v>6256.2671655897448</v>
      </c>
      <c r="R104" s="486">
        <f>('Premissas Técnicas'!$D$65+'Premissas Técnicas'!$D$67*R179)*R155*$D$14</f>
        <v>6256.2671655897448</v>
      </c>
      <c r="S104" s="486">
        <f>('Premissas Técnicas'!$D$65+'Premissas Técnicas'!$D$67*S179)*S155*$D$14</f>
        <v>6256.2671655897448</v>
      </c>
      <c r="T104" s="486">
        <f>('Premissas Técnicas'!$D$65+'Premissas Técnicas'!$D$67*T179)*T155*$D$14</f>
        <v>6256.2671655897448</v>
      </c>
      <c r="U104" s="486">
        <f>('Premissas Técnicas'!$D$65+'Premissas Técnicas'!$D$67*U179)*U155*$D$14</f>
        <v>6256.2671655897448</v>
      </c>
      <c r="V104" s="486">
        <f>('Premissas Técnicas'!$D$65+'Premissas Técnicas'!$D$67*V179)*V155*$D$14</f>
        <v>6256.2671655897448</v>
      </c>
      <c r="W104" s="486">
        <f>('Premissas Técnicas'!$D$65+'Premissas Técnicas'!$D$67*W179)*W155*$D$14</f>
        <v>6256.2671655897448</v>
      </c>
      <c r="X104" s="486">
        <f>('Premissas Técnicas'!$D$65+'Premissas Técnicas'!$D$67*X179)*X155*$D$14</f>
        <v>6256.2671655897448</v>
      </c>
      <c r="Y104" s="486">
        <f>('Premissas Técnicas'!$D$65+'Premissas Técnicas'!$D$67*Y179)*Y155*$D$14</f>
        <v>6256.2671655897448</v>
      </c>
      <c r="Z104" s="486">
        <f>('Premissas Técnicas'!$D$65+'Premissas Técnicas'!$D$67*Z179)*Z155*$D$14</f>
        <v>6256.2671655897448</v>
      </c>
      <c r="AA104" s="486">
        <f>('Premissas Técnicas'!$D$65+'Premissas Técnicas'!$D$67*AA179)*AA155*$D$14</f>
        <v>6256.2671655897448</v>
      </c>
      <c r="AB104" s="486">
        <f>('Premissas Técnicas'!$D$65+'Premissas Técnicas'!$D$67*AB179)*AB155*$D$14</f>
        <v>6256.2671655897448</v>
      </c>
      <c r="AC104" s="486">
        <f>('Premissas Técnicas'!$D$65+'Premissas Técnicas'!$D$67*AC179)*AC155*$D$14</f>
        <v>6256.2671655897448</v>
      </c>
      <c r="AD104" s="486">
        <f>('Premissas Técnicas'!$D$65+'Premissas Técnicas'!$D$67*AD179)*AD155*$D$14</f>
        <v>6256.2671655897448</v>
      </c>
      <c r="AE104" s="486">
        <f>('Premissas Técnicas'!$D$65+'Premissas Técnicas'!$D$67*AE179)*AE155*$D$14</f>
        <v>6256.2671655897448</v>
      </c>
      <c r="AF104" s="486">
        <f>('Premissas Técnicas'!$D$65+'Premissas Técnicas'!$D$67*AF179)*AF155*$D$14</f>
        <v>6256.2671655897448</v>
      </c>
      <c r="AG104" s="486">
        <f>('Premissas Técnicas'!$D$65+'Premissas Técnicas'!$D$67*AG179)*AG155*$D$14</f>
        <v>6256.2671655897448</v>
      </c>
      <c r="AH104" s="486">
        <f>('Premissas Técnicas'!$D$65+'Premissas Técnicas'!$D$67*AH179)*AH155*$D$14</f>
        <v>6256.2671655897448</v>
      </c>
      <c r="AI104" s="486">
        <f>('Premissas Técnicas'!$D$65+'Premissas Técnicas'!$D$67*AI179)*AI155*$D$14</f>
        <v>6256.2671655897448</v>
      </c>
      <c r="AJ104" s="231"/>
    </row>
    <row r="105" spans="1:36" s="357" customFormat="1" ht="12">
      <c r="B105" s="477" t="str">
        <f>B112</f>
        <v>ETE Rio Toledo</v>
      </c>
      <c r="D105" s="448"/>
      <c r="E105" s="486">
        <f>('Premissas Técnicas'!$D$65+'Premissas Técnicas'!$D$67*E180)*E156*$D$14</f>
        <v>0</v>
      </c>
      <c r="F105" s="486">
        <f>('Premissas Técnicas'!$D$65+'Premissas Técnicas'!$D$67*F180)*F156*$D$14</f>
        <v>0</v>
      </c>
      <c r="G105" s="486">
        <f>('Premissas Técnicas'!$D$65+'Premissas Técnicas'!$D$67*G180)*G156*$D$14</f>
        <v>0</v>
      </c>
      <c r="H105" s="486">
        <f>('Premissas Técnicas'!$D$65+'Premissas Técnicas'!$D$67*H180)*H156*$D$14</f>
        <v>0</v>
      </c>
      <c r="I105" s="486">
        <f>('Premissas Técnicas'!$D$65+'Premissas Técnicas'!$D$67*I180)*I156*$D$14</f>
        <v>0</v>
      </c>
      <c r="J105" s="486">
        <f>('Premissas Técnicas'!$D$65+'Premissas Técnicas'!$D$67*J180)*J156*$D$14</f>
        <v>0</v>
      </c>
      <c r="K105" s="486">
        <f>('Premissas Técnicas'!$D$65+'Premissas Técnicas'!$D$67*K180)*K156*$D$14</f>
        <v>0</v>
      </c>
      <c r="L105" s="486">
        <f>('Premissas Técnicas'!$D$65+'Premissas Técnicas'!$D$67*L180)*L156*$D$14</f>
        <v>2386.528285589744</v>
      </c>
      <c r="M105" s="486">
        <f>('Premissas Técnicas'!$D$65+'Premissas Técnicas'!$D$67*M180)*M156*$D$14</f>
        <v>3428.2008615897439</v>
      </c>
      <c r="N105" s="486">
        <f>('Premissas Técnicas'!$D$65+'Premissas Técnicas'!$D$67*N180)*N156*$D$14</f>
        <v>3428.2008615897439</v>
      </c>
      <c r="O105" s="486">
        <f>('Premissas Técnicas'!$D$65+'Premissas Técnicas'!$D$67*O180)*O156*$D$14</f>
        <v>3428.2008615897439</v>
      </c>
      <c r="P105" s="486">
        <f>('Premissas Técnicas'!$D$65+'Premissas Técnicas'!$D$67*P180)*P156*$D$14</f>
        <v>3428.2008615897439</v>
      </c>
      <c r="Q105" s="486">
        <f>('Premissas Técnicas'!$D$65+'Premissas Técnicas'!$D$67*Q180)*Q156*$D$14</f>
        <v>3428.2008615897439</v>
      </c>
      <c r="R105" s="486">
        <f>('Premissas Técnicas'!$D$65+'Premissas Técnicas'!$D$67*R180)*R156*$D$14</f>
        <v>3428.2008615897439</v>
      </c>
      <c r="S105" s="486">
        <f>('Premissas Técnicas'!$D$65+'Premissas Técnicas'!$D$67*S180)*S156*$D$14</f>
        <v>3428.2008615897439</v>
      </c>
      <c r="T105" s="486">
        <f>('Premissas Técnicas'!$D$65+'Premissas Técnicas'!$D$67*T180)*T156*$D$14</f>
        <v>3428.2008615897439</v>
      </c>
      <c r="U105" s="486">
        <f>('Premissas Técnicas'!$D$65+'Premissas Técnicas'!$D$67*U180)*U156*$D$14</f>
        <v>3428.2008615897439</v>
      </c>
      <c r="V105" s="486">
        <f>('Premissas Técnicas'!$D$65+'Premissas Técnicas'!$D$67*V180)*V156*$D$14</f>
        <v>3428.2008615897439</v>
      </c>
      <c r="W105" s="486">
        <f>('Premissas Técnicas'!$D$65+'Premissas Técnicas'!$D$67*W180)*W156*$D$14</f>
        <v>3428.2008615897439</v>
      </c>
      <c r="X105" s="486">
        <f>('Premissas Técnicas'!$D$65+'Premissas Técnicas'!$D$67*X180)*X156*$D$14</f>
        <v>3428.2008615897439</v>
      </c>
      <c r="Y105" s="486">
        <f>('Premissas Técnicas'!$D$65+'Premissas Técnicas'!$D$67*Y180)*Y156*$D$14</f>
        <v>3428.2008615897439</v>
      </c>
      <c r="Z105" s="486">
        <f>('Premissas Técnicas'!$D$65+'Premissas Técnicas'!$D$67*Z180)*Z156*$D$14</f>
        <v>3428.2008615897439</v>
      </c>
      <c r="AA105" s="486">
        <f>('Premissas Técnicas'!$D$65+'Premissas Técnicas'!$D$67*AA180)*AA156*$D$14</f>
        <v>3428.2008615897439</v>
      </c>
      <c r="AB105" s="486">
        <f>('Premissas Técnicas'!$D$65+'Premissas Técnicas'!$D$67*AB180)*AB156*$D$14</f>
        <v>3428.2008615897439</v>
      </c>
      <c r="AC105" s="486">
        <f>('Premissas Técnicas'!$D$65+'Premissas Técnicas'!$D$67*AC180)*AC156*$D$14</f>
        <v>3428.2008615897439</v>
      </c>
      <c r="AD105" s="486">
        <f>('Premissas Técnicas'!$D$65+'Premissas Técnicas'!$D$67*AD180)*AD156*$D$14</f>
        <v>3428.2008615897439</v>
      </c>
      <c r="AE105" s="486">
        <f>('Premissas Técnicas'!$D$65+'Premissas Técnicas'!$D$67*AE180)*AE156*$D$14</f>
        <v>3428.2008615897439</v>
      </c>
      <c r="AF105" s="486">
        <f>('Premissas Técnicas'!$D$65+'Premissas Técnicas'!$D$67*AF180)*AF156*$D$14</f>
        <v>3428.2008615897439</v>
      </c>
      <c r="AG105" s="486">
        <f>('Premissas Técnicas'!$D$65+'Premissas Técnicas'!$D$67*AG180)*AG156*$D$14</f>
        <v>3428.2008615897439</v>
      </c>
      <c r="AH105" s="486">
        <f>('Premissas Técnicas'!$D$65+'Premissas Técnicas'!$D$67*AH180)*AH156*$D$14</f>
        <v>3428.2008615897439</v>
      </c>
      <c r="AI105" s="486">
        <f>('Premissas Técnicas'!$D$65+'Premissas Técnicas'!$D$67*AI180)*AI156*$D$14</f>
        <v>3428.2008615897439</v>
      </c>
      <c r="AJ105" s="231"/>
    </row>
    <row r="106" spans="1:36" s="357" customFormat="1" ht="12">
      <c r="B106" s="477" t="str">
        <f>B113</f>
        <v>ETE Verde</v>
      </c>
      <c r="D106" s="448"/>
      <c r="E106" s="486">
        <f>('Premissas Técnicas'!$D$65+'Premissas Técnicas'!$D$67*E181)*E157*$D$14</f>
        <v>0</v>
      </c>
      <c r="F106" s="486">
        <f>('Premissas Técnicas'!$D$65+'Premissas Técnicas'!$D$67*F181)*F157*$D$14</f>
        <v>0</v>
      </c>
      <c r="G106" s="486">
        <f>('Premissas Técnicas'!$D$65+'Premissas Técnicas'!$D$67*G181)*G157*$D$14</f>
        <v>0</v>
      </c>
      <c r="H106" s="486">
        <f>('Premissas Técnicas'!$D$65+'Premissas Técnicas'!$D$67*H181)*H157*$D$14</f>
        <v>0</v>
      </c>
      <c r="I106" s="486">
        <f>('Premissas Técnicas'!$D$65+'Premissas Técnicas'!$D$67*I181)*I157*$D$14</f>
        <v>0</v>
      </c>
      <c r="J106" s="486">
        <f>('Premissas Técnicas'!$D$65+'Premissas Técnicas'!$D$67*J181)*J157*$D$14</f>
        <v>0</v>
      </c>
      <c r="K106" s="486">
        <f>('Premissas Técnicas'!$D$65+'Premissas Técnicas'!$D$67*K181)*K157*$D$14</f>
        <v>0</v>
      </c>
      <c r="L106" s="486">
        <f>('Premissas Técnicas'!$D$65+'Premissas Técnicas'!$D$67*L181)*L157*$D$14</f>
        <v>0</v>
      </c>
      <c r="M106" s="486">
        <f>('Premissas Técnicas'!$D$65+'Premissas Técnicas'!$D$67*M181)*M157*$D$14</f>
        <v>2046.4859175897441</v>
      </c>
      <c r="N106" s="486">
        <f>('Premissas Técnicas'!$D$65+'Premissas Técnicas'!$D$67*N181)*N157*$D$14</f>
        <v>2748.1161255897441</v>
      </c>
      <c r="O106" s="486">
        <f>('Premissas Técnicas'!$D$65+'Premissas Técnicas'!$D$67*O181)*O157*$D$14</f>
        <v>2748.1161255897441</v>
      </c>
      <c r="P106" s="486">
        <f>('Premissas Técnicas'!$D$65+'Premissas Técnicas'!$D$67*P181)*P157*$D$14</f>
        <v>2748.1161255897441</v>
      </c>
      <c r="Q106" s="486">
        <f>('Premissas Técnicas'!$D$65+'Premissas Técnicas'!$D$67*Q181)*Q157*$D$14</f>
        <v>2748.1161255897441</v>
      </c>
      <c r="R106" s="486">
        <f>('Premissas Técnicas'!$D$65+'Premissas Técnicas'!$D$67*R181)*R157*$D$14</f>
        <v>2748.1161255897441</v>
      </c>
      <c r="S106" s="486">
        <f>('Premissas Técnicas'!$D$65+'Premissas Técnicas'!$D$67*S181)*S157*$D$14</f>
        <v>2748.1161255897441</v>
      </c>
      <c r="T106" s="486">
        <f>('Premissas Técnicas'!$D$65+'Premissas Técnicas'!$D$67*T181)*T157*$D$14</f>
        <v>2748.1161255897441</v>
      </c>
      <c r="U106" s="486">
        <f>('Premissas Técnicas'!$D$65+'Premissas Técnicas'!$D$67*U181)*U157*$D$14</f>
        <v>2748.1161255897441</v>
      </c>
      <c r="V106" s="486">
        <f>('Premissas Técnicas'!$D$65+'Premissas Técnicas'!$D$67*V181)*V157*$D$14</f>
        <v>2748.1161255897441</v>
      </c>
      <c r="W106" s="486">
        <f>('Premissas Técnicas'!$D$65+'Premissas Técnicas'!$D$67*W181)*W157*$D$14</f>
        <v>2748.1161255897441</v>
      </c>
      <c r="X106" s="486">
        <f>('Premissas Técnicas'!$D$65+'Premissas Técnicas'!$D$67*X181)*X157*$D$14</f>
        <v>2748.1161255897441</v>
      </c>
      <c r="Y106" s="486">
        <f>('Premissas Técnicas'!$D$65+'Premissas Técnicas'!$D$67*Y181)*Y157*$D$14</f>
        <v>2748.1161255897441</v>
      </c>
      <c r="Z106" s="486">
        <f>('Premissas Técnicas'!$D$65+'Premissas Técnicas'!$D$67*Z181)*Z157*$D$14</f>
        <v>2748.1161255897441</v>
      </c>
      <c r="AA106" s="486">
        <f>('Premissas Técnicas'!$D$65+'Premissas Técnicas'!$D$67*AA181)*AA157*$D$14</f>
        <v>2748.1161255897441</v>
      </c>
      <c r="AB106" s="486">
        <f>('Premissas Técnicas'!$D$65+'Premissas Técnicas'!$D$67*AB181)*AB157*$D$14</f>
        <v>2748.1161255897441</v>
      </c>
      <c r="AC106" s="486">
        <f>('Premissas Técnicas'!$D$65+'Premissas Técnicas'!$D$67*AC181)*AC157*$D$14</f>
        <v>2748.1161255897441</v>
      </c>
      <c r="AD106" s="486">
        <f>('Premissas Técnicas'!$D$65+'Premissas Técnicas'!$D$67*AD181)*AD157*$D$14</f>
        <v>2748.1161255897441</v>
      </c>
      <c r="AE106" s="486">
        <f>('Premissas Técnicas'!$D$65+'Premissas Técnicas'!$D$67*AE181)*AE157*$D$14</f>
        <v>2748.1161255897441</v>
      </c>
      <c r="AF106" s="486">
        <f>('Premissas Técnicas'!$D$65+'Premissas Técnicas'!$D$67*AF181)*AF157*$D$14</f>
        <v>2748.1161255897441</v>
      </c>
      <c r="AG106" s="486">
        <f>('Premissas Técnicas'!$D$65+'Premissas Técnicas'!$D$67*AG181)*AG157*$D$14</f>
        <v>2748.1161255897441</v>
      </c>
      <c r="AH106" s="486">
        <f>('Premissas Técnicas'!$D$65+'Premissas Técnicas'!$D$67*AH181)*AH157*$D$14</f>
        <v>2748.1161255897441</v>
      </c>
      <c r="AI106" s="486">
        <f>('Premissas Técnicas'!$D$65+'Premissas Técnicas'!$D$67*AI181)*AI157*$D$14</f>
        <v>2748.1161255897441</v>
      </c>
      <c r="AJ106" s="231"/>
    </row>
    <row r="107" spans="1:36" s="357" customFormat="1" ht="12">
      <c r="D107" s="448"/>
      <c r="E107" s="487"/>
      <c r="F107" s="487"/>
      <c r="G107" s="487"/>
      <c r="H107" s="487"/>
      <c r="I107" s="487"/>
      <c r="J107" s="487"/>
      <c r="K107" s="487"/>
      <c r="L107" s="487"/>
      <c r="M107" s="487"/>
      <c r="N107" s="487"/>
      <c r="O107" s="487"/>
      <c r="P107" s="487"/>
      <c r="Q107" s="487"/>
      <c r="R107" s="487"/>
      <c r="S107" s="487"/>
      <c r="T107" s="487"/>
      <c r="U107" s="487"/>
      <c r="V107" s="487"/>
      <c r="W107" s="487"/>
      <c r="X107" s="487"/>
      <c r="Y107" s="487"/>
      <c r="Z107" s="487"/>
      <c r="AA107" s="487"/>
      <c r="AB107" s="487"/>
      <c r="AC107" s="487"/>
      <c r="AD107" s="487"/>
      <c r="AE107" s="487"/>
      <c r="AF107" s="487"/>
      <c r="AG107" s="487"/>
      <c r="AH107" s="487"/>
      <c r="AI107" s="487"/>
    </row>
    <row r="108" spans="1:36" s="357" customFormat="1" ht="12">
      <c r="B108" s="447" t="s">
        <v>448</v>
      </c>
      <c r="C108" s="447"/>
      <c r="D108" s="479"/>
      <c r="E108" s="485">
        <f>SUM(E109:E113)</f>
        <v>0</v>
      </c>
      <c r="F108" s="485">
        <f t="shared" ref="F108" si="22">SUM(F109:F113)</f>
        <v>0</v>
      </c>
      <c r="G108" s="485">
        <f t="shared" ref="G108" si="23">SUM(G109:G113)</f>
        <v>0</v>
      </c>
      <c r="H108" s="485">
        <f t="shared" ref="H108" si="24">SUM(H109:H113)</f>
        <v>255.28250925925926</v>
      </c>
      <c r="I108" s="485">
        <f t="shared" ref="I108" si="25">SUM(I109:I113)</f>
        <v>412.16090925925926</v>
      </c>
      <c r="J108" s="485">
        <f t="shared" ref="J108" si="26">SUM(J109:J113)</f>
        <v>412.16090925925926</v>
      </c>
      <c r="K108" s="485">
        <f t="shared" ref="K108" si="27">SUM(K109:K113)</f>
        <v>785.1022185185185</v>
      </c>
      <c r="L108" s="485">
        <f t="shared" ref="L108" si="28">SUM(L109:L113)</f>
        <v>1275.7023277777778</v>
      </c>
      <c r="M108" s="485">
        <f t="shared" ref="M108" si="29">SUM(M109:M113)</f>
        <v>1570.2044370370372</v>
      </c>
      <c r="N108" s="485">
        <f t="shared" ref="N108" si="30">SUM(N109:N113)</f>
        <v>1648.6436370370373</v>
      </c>
      <c r="O108" s="485">
        <f t="shared" ref="O108" si="31">SUM(O109:O113)</f>
        <v>1648.6436370370373</v>
      </c>
      <c r="P108" s="485">
        <f t="shared" ref="P108" si="32">SUM(P109:P113)</f>
        <v>1648.6436370370373</v>
      </c>
      <c r="Q108" s="485">
        <f t="shared" ref="Q108" si="33">SUM(Q109:Q113)</f>
        <v>1648.6436370370373</v>
      </c>
      <c r="R108" s="485">
        <f t="shared" ref="R108" si="34">SUM(R109:R113)</f>
        <v>1648.6436370370373</v>
      </c>
      <c r="S108" s="485">
        <f t="shared" ref="S108" si="35">SUM(S109:S113)</f>
        <v>1648.6436370370373</v>
      </c>
      <c r="T108" s="485">
        <f t="shared" ref="T108" si="36">SUM(T109:T113)</f>
        <v>1648.6436370370373</v>
      </c>
      <c r="U108" s="485">
        <f t="shared" ref="U108" si="37">SUM(U109:U113)</f>
        <v>1648.6436370370373</v>
      </c>
      <c r="V108" s="485">
        <f t="shared" ref="V108" si="38">SUM(V109:V113)</f>
        <v>1648.6436370370373</v>
      </c>
      <c r="W108" s="485">
        <f t="shared" ref="W108" si="39">SUM(W109:W113)</f>
        <v>1648.6436370370373</v>
      </c>
      <c r="X108" s="485">
        <f t="shared" ref="X108" si="40">SUM(X109:X113)</f>
        <v>1648.6436370370373</v>
      </c>
      <c r="Y108" s="485">
        <f t="shared" ref="Y108" si="41">SUM(Y109:Y113)</f>
        <v>1648.6436370370373</v>
      </c>
      <c r="Z108" s="485">
        <f t="shared" ref="Z108" si="42">SUM(Z109:Z113)</f>
        <v>1648.6436370370373</v>
      </c>
      <c r="AA108" s="485">
        <f t="shared" ref="AA108" si="43">SUM(AA109:AA113)</f>
        <v>1648.6436370370373</v>
      </c>
      <c r="AB108" s="485">
        <f t="shared" ref="AB108" si="44">SUM(AB109:AB113)</f>
        <v>1648.6436370370373</v>
      </c>
      <c r="AC108" s="485">
        <f t="shared" ref="AC108" si="45">SUM(AC109:AC113)</f>
        <v>1648.6436370370373</v>
      </c>
      <c r="AD108" s="485">
        <f t="shared" ref="AD108" si="46">SUM(AD109:AD113)</f>
        <v>1648.6436370370373</v>
      </c>
      <c r="AE108" s="485">
        <f t="shared" ref="AE108" si="47">SUM(AE109:AE113)</f>
        <v>1648.6436370370373</v>
      </c>
      <c r="AF108" s="485">
        <f t="shared" ref="AF108" si="48">SUM(AF109:AF113)</f>
        <v>1648.6436370370373</v>
      </c>
      <c r="AG108" s="485">
        <f t="shared" ref="AG108" si="49">SUM(AG109:AG113)</f>
        <v>1648.6436370370373</v>
      </c>
      <c r="AH108" s="485">
        <f t="shared" ref="AH108" si="50">SUM(AH109:AH113)</f>
        <v>1648.6436370370373</v>
      </c>
      <c r="AI108" s="485">
        <f t="shared" ref="AI108" si="51">SUM(AI109:AI113)</f>
        <v>1648.6436370370373</v>
      </c>
      <c r="AJ108" s="484"/>
    </row>
    <row r="109" spans="1:36" s="357" customFormat="1" ht="12">
      <c r="B109" s="477" t="str">
        <f>B116</f>
        <v>ETE Atuba Sul</v>
      </c>
      <c r="D109" s="448"/>
      <c r="E109" s="486">
        <f>('Premissas Técnicas'!$D$75+'Premissas Técnicas'!$D$76*E184)*E153*$D$14</f>
        <v>0</v>
      </c>
      <c r="F109" s="486">
        <f>('Premissas Técnicas'!$D$75+'Premissas Técnicas'!$D$76*F184)*F153*$D$14</f>
        <v>0</v>
      </c>
      <c r="G109" s="486">
        <f>('Premissas Técnicas'!$D$75+'Premissas Técnicas'!$D$76*G184)*G153*$D$14</f>
        <v>0</v>
      </c>
      <c r="H109" s="486">
        <f>('Premissas Técnicas'!$D$75+'Premissas Técnicas'!$D$76*H184)*H153*$D$14</f>
        <v>255.28250925925926</v>
      </c>
      <c r="I109" s="486">
        <f>('Premissas Técnicas'!$D$75+'Premissas Técnicas'!$D$76*I184)*I153*$D$14</f>
        <v>412.16090925925926</v>
      </c>
      <c r="J109" s="486">
        <f>('Premissas Técnicas'!$D$75+'Premissas Técnicas'!$D$76*J184)*J153*$D$14</f>
        <v>412.16090925925926</v>
      </c>
      <c r="K109" s="486">
        <f>('Premissas Técnicas'!$D$75+'Premissas Técnicas'!$D$76*K184)*K153*$D$14</f>
        <v>412.16090925925926</v>
      </c>
      <c r="L109" s="486">
        <f>('Premissas Técnicas'!$D$75+'Premissas Técnicas'!$D$76*L184)*L153*$D$14</f>
        <v>412.16090925925926</v>
      </c>
      <c r="M109" s="486">
        <f>('Premissas Técnicas'!$D$75+'Premissas Técnicas'!$D$76*M184)*M153*$D$14</f>
        <v>412.16090925925926</v>
      </c>
      <c r="N109" s="486">
        <f>('Premissas Técnicas'!$D$75+'Premissas Técnicas'!$D$76*N184)*N153*$D$14</f>
        <v>412.16090925925926</v>
      </c>
      <c r="O109" s="486">
        <f>('Premissas Técnicas'!$D$75+'Premissas Técnicas'!$D$76*O184)*O153*$D$14</f>
        <v>412.16090925925926</v>
      </c>
      <c r="P109" s="486">
        <f>('Premissas Técnicas'!$D$75+'Premissas Técnicas'!$D$76*P184)*P153*$D$14</f>
        <v>412.16090925925926</v>
      </c>
      <c r="Q109" s="486">
        <f>('Premissas Técnicas'!$D$75+'Premissas Técnicas'!$D$76*Q184)*Q153*$D$14</f>
        <v>412.16090925925926</v>
      </c>
      <c r="R109" s="486">
        <f>('Premissas Técnicas'!$D$75+'Premissas Técnicas'!$D$76*R184)*R153*$D$14</f>
        <v>412.16090925925926</v>
      </c>
      <c r="S109" s="486">
        <f>('Premissas Técnicas'!$D$75+'Premissas Técnicas'!$D$76*S184)*S153*$D$14</f>
        <v>412.16090925925926</v>
      </c>
      <c r="T109" s="486">
        <f>('Premissas Técnicas'!$D$75+'Premissas Técnicas'!$D$76*T184)*T153*$D$14</f>
        <v>412.16090925925926</v>
      </c>
      <c r="U109" s="486">
        <f>('Premissas Técnicas'!$D$75+'Premissas Técnicas'!$D$76*U184)*U153*$D$14</f>
        <v>412.16090925925926</v>
      </c>
      <c r="V109" s="486">
        <f>('Premissas Técnicas'!$D$75+'Premissas Técnicas'!$D$76*V184)*V153*$D$14</f>
        <v>412.16090925925926</v>
      </c>
      <c r="W109" s="486">
        <f>('Premissas Técnicas'!$D$75+'Premissas Técnicas'!$D$76*W184)*W153*$D$14</f>
        <v>412.16090925925926</v>
      </c>
      <c r="X109" s="486">
        <f>('Premissas Técnicas'!$D$75+'Premissas Técnicas'!$D$76*X184)*X153*$D$14</f>
        <v>412.16090925925926</v>
      </c>
      <c r="Y109" s="486">
        <f>('Premissas Técnicas'!$D$75+'Premissas Técnicas'!$D$76*Y184)*Y153*$D$14</f>
        <v>412.16090925925926</v>
      </c>
      <c r="Z109" s="486">
        <f>('Premissas Técnicas'!$D$75+'Premissas Técnicas'!$D$76*Z184)*Z153*$D$14</f>
        <v>412.16090925925926</v>
      </c>
      <c r="AA109" s="486">
        <f>('Premissas Técnicas'!$D$75+'Premissas Técnicas'!$D$76*AA184)*AA153*$D$14</f>
        <v>412.16090925925926</v>
      </c>
      <c r="AB109" s="486">
        <f>('Premissas Técnicas'!$D$75+'Premissas Técnicas'!$D$76*AB184)*AB153*$D$14</f>
        <v>412.16090925925926</v>
      </c>
      <c r="AC109" s="486">
        <f>('Premissas Técnicas'!$D$75+'Premissas Técnicas'!$D$76*AC184)*AC153*$D$14</f>
        <v>412.16090925925926</v>
      </c>
      <c r="AD109" s="486">
        <f>('Premissas Técnicas'!$D$75+'Premissas Técnicas'!$D$76*AD184)*AD153*$D$14</f>
        <v>412.16090925925926</v>
      </c>
      <c r="AE109" s="486">
        <f>('Premissas Técnicas'!$D$75+'Premissas Técnicas'!$D$76*AE184)*AE153*$D$14</f>
        <v>412.16090925925926</v>
      </c>
      <c r="AF109" s="486">
        <f>('Premissas Técnicas'!$D$75+'Premissas Técnicas'!$D$76*AF184)*AF153*$D$14</f>
        <v>412.16090925925926</v>
      </c>
      <c r="AG109" s="486">
        <f>('Premissas Técnicas'!$D$75+'Premissas Técnicas'!$D$76*AG184)*AG153*$D$14</f>
        <v>412.16090925925926</v>
      </c>
      <c r="AH109" s="486">
        <f>('Premissas Técnicas'!$D$75+'Premissas Técnicas'!$D$76*AH184)*AH153*$D$14</f>
        <v>412.16090925925926</v>
      </c>
      <c r="AI109" s="486">
        <f>('Premissas Técnicas'!$D$75+'Premissas Técnicas'!$D$76*AI184)*AI153*$D$14</f>
        <v>412.16090925925926</v>
      </c>
      <c r="AJ109" s="231"/>
    </row>
    <row r="110" spans="1:36" s="357" customFormat="1" ht="12">
      <c r="B110" s="477" t="str">
        <f>B117</f>
        <v>ETE Cafezal</v>
      </c>
      <c r="D110" s="448"/>
      <c r="E110" s="486">
        <f>('Premissas Técnicas'!$D$75+'Premissas Técnicas'!$D$76*E185)*E154*$D$14</f>
        <v>0</v>
      </c>
      <c r="F110" s="486">
        <f>('Premissas Técnicas'!$D$75+'Premissas Técnicas'!$D$76*F185)*F154*$D$14</f>
        <v>0</v>
      </c>
      <c r="G110" s="486">
        <f>('Premissas Técnicas'!$D$75+'Premissas Técnicas'!$D$76*G185)*G154*$D$14</f>
        <v>0</v>
      </c>
      <c r="H110" s="486">
        <f>('Premissas Técnicas'!$D$75+'Premissas Técnicas'!$D$76*H185)*H154*$D$14</f>
        <v>0</v>
      </c>
      <c r="I110" s="486">
        <f>('Premissas Técnicas'!$D$75+'Premissas Técnicas'!$D$76*I185)*I154*$D$14</f>
        <v>0</v>
      </c>
      <c r="J110" s="486">
        <f>('Premissas Técnicas'!$D$75+'Premissas Técnicas'!$D$76*J185)*J154*$D$14</f>
        <v>0</v>
      </c>
      <c r="K110" s="486">
        <f>('Premissas Técnicas'!$D$75+'Premissas Técnicas'!$D$76*K185)*K154*$D$14</f>
        <v>0</v>
      </c>
      <c r="L110" s="486">
        <f>('Premissas Técnicas'!$D$75+'Premissas Técnicas'!$D$76*L185)*L154*$D$14</f>
        <v>0</v>
      </c>
      <c r="M110" s="486">
        <f>('Premissas Técnicas'!$D$75+'Premissas Técnicas'!$D$76*M185)*M154*$D$14</f>
        <v>0</v>
      </c>
      <c r="N110" s="486">
        <f>('Premissas Técnicas'!$D$75+'Premissas Técnicas'!$D$76*N185)*N154*$D$14</f>
        <v>0</v>
      </c>
      <c r="O110" s="486">
        <f>('Premissas Técnicas'!$D$75+'Premissas Técnicas'!$D$76*O185)*O154*$D$14</f>
        <v>0</v>
      </c>
      <c r="P110" s="486">
        <f>('Premissas Técnicas'!$D$75+'Premissas Técnicas'!$D$76*P185)*P154*$D$14</f>
        <v>0</v>
      </c>
      <c r="Q110" s="486">
        <f>('Premissas Técnicas'!$D$75+'Premissas Técnicas'!$D$76*Q185)*Q154*$D$14</f>
        <v>0</v>
      </c>
      <c r="R110" s="486">
        <f>('Premissas Técnicas'!$D$75+'Premissas Técnicas'!$D$76*R185)*R154*$D$14</f>
        <v>0</v>
      </c>
      <c r="S110" s="486">
        <f>('Premissas Técnicas'!$D$75+'Premissas Técnicas'!$D$76*S185)*S154*$D$14</f>
        <v>0</v>
      </c>
      <c r="T110" s="486">
        <f>('Premissas Técnicas'!$D$75+'Premissas Técnicas'!$D$76*T185)*T154*$D$14</f>
        <v>0</v>
      </c>
      <c r="U110" s="486">
        <f>('Premissas Técnicas'!$D$75+'Premissas Técnicas'!$D$76*U185)*U154*$D$14</f>
        <v>0</v>
      </c>
      <c r="V110" s="486">
        <f>('Premissas Técnicas'!$D$75+'Premissas Técnicas'!$D$76*V185)*V154*$D$14</f>
        <v>0</v>
      </c>
      <c r="W110" s="486">
        <f>('Premissas Técnicas'!$D$75+'Premissas Técnicas'!$D$76*W185)*W154*$D$14</f>
        <v>0</v>
      </c>
      <c r="X110" s="486">
        <f>('Premissas Técnicas'!$D$75+'Premissas Técnicas'!$D$76*X185)*X154*$D$14</f>
        <v>0</v>
      </c>
      <c r="Y110" s="486">
        <f>('Premissas Técnicas'!$D$75+'Premissas Técnicas'!$D$76*Y185)*Y154*$D$14</f>
        <v>0</v>
      </c>
      <c r="Z110" s="486">
        <f>('Premissas Técnicas'!$D$75+'Premissas Técnicas'!$D$76*Z185)*Z154*$D$14</f>
        <v>0</v>
      </c>
      <c r="AA110" s="486">
        <f>('Premissas Técnicas'!$D$75+'Premissas Técnicas'!$D$76*AA185)*AA154*$D$14</f>
        <v>0</v>
      </c>
      <c r="AB110" s="486">
        <f>('Premissas Técnicas'!$D$75+'Premissas Técnicas'!$D$76*AB185)*AB154*$D$14</f>
        <v>0</v>
      </c>
      <c r="AC110" s="486">
        <f>('Premissas Técnicas'!$D$75+'Premissas Técnicas'!$D$76*AC185)*AC154*$D$14</f>
        <v>0</v>
      </c>
      <c r="AD110" s="486">
        <f>('Premissas Técnicas'!$D$75+'Premissas Técnicas'!$D$76*AD185)*AD154*$D$14</f>
        <v>0</v>
      </c>
      <c r="AE110" s="486">
        <f>('Premissas Técnicas'!$D$75+'Premissas Técnicas'!$D$76*AE185)*AE154*$D$14</f>
        <v>0</v>
      </c>
      <c r="AF110" s="486">
        <f>('Premissas Técnicas'!$D$75+'Premissas Técnicas'!$D$76*AF185)*AF154*$D$14</f>
        <v>0</v>
      </c>
      <c r="AG110" s="486">
        <f>('Premissas Técnicas'!$D$75+'Premissas Técnicas'!$D$76*AG185)*AG154*$D$14</f>
        <v>0</v>
      </c>
      <c r="AH110" s="486">
        <f>('Premissas Técnicas'!$D$75+'Premissas Técnicas'!$D$76*AH185)*AH154*$D$14</f>
        <v>0</v>
      </c>
      <c r="AI110" s="486">
        <f>('Premissas Técnicas'!$D$75+'Premissas Técnicas'!$D$76*AI185)*AI154*$D$14</f>
        <v>0</v>
      </c>
      <c r="AJ110" s="231"/>
    </row>
    <row r="111" spans="1:36" s="357" customFormat="1" ht="12">
      <c r="B111" s="477" t="str">
        <f>B118</f>
        <v>ETE CIC-Xisto</v>
      </c>
      <c r="D111" s="448"/>
      <c r="E111" s="486">
        <f>('Premissas Técnicas'!$D$75+'Premissas Técnicas'!$D$76*E186)*E155*$D$14</f>
        <v>0</v>
      </c>
      <c r="F111" s="486">
        <f>('Premissas Técnicas'!$D$75+'Premissas Técnicas'!$D$76*F186)*F155*$D$14</f>
        <v>0</v>
      </c>
      <c r="G111" s="486">
        <f>('Premissas Técnicas'!$D$75+'Premissas Técnicas'!$D$76*G186)*G155*$D$14</f>
        <v>0</v>
      </c>
      <c r="H111" s="486">
        <f>('Premissas Técnicas'!$D$75+'Premissas Técnicas'!$D$76*H186)*H155*$D$14</f>
        <v>0</v>
      </c>
      <c r="I111" s="486">
        <f>('Premissas Técnicas'!$D$75+'Premissas Técnicas'!$D$76*I186)*I155*$D$14</f>
        <v>0</v>
      </c>
      <c r="J111" s="486">
        <f>('Premissas Técnicas'!$D$75+'Premissas Técnicas'!$D$76*J186)*J155*$D$14</f>
        <v>0</v>
      </c>
      <c r="K111" s="486">
        <f>('Premissas Técnicas'!$D$75+'Premissas Técnicas'!$D$76*K186)*K155*$D$14</f>
        <v>372.94130925925924</v>
      </c>
      <c r="L111" s="486">
        <f>('Premissas Técnicas'!$D$75+'Premissas Técnicas'!$D$76*L186)*L155*$D$14</f>
        <v>647.47850925925923</v>
      </c>
      <c r="M111" s="486">
        <f>('Premissas Técnicas'!$D$75+'Premissas Técnicas'!$D$76*M186)*M155*$D$14</f>
        <v>647.47850925925923</v>
      </c>
      <c r="N111" s="486">
        <f>('Premissas Técnicas'!$D$75+'Premissas Técnicas'!$D$76*N186)*N155*$D$14</f>
        <v>647.47850925925923</v>
      </c>
      <c r="O111" s="486">
        <f>('Premissas Técnicas'!$D$75+'Premissas Técnicas'!$D$76*O186)*O155*$D$14</f>
        <v>647.47850925925923</v>
      </c>
      <c r="P111" s="486">
        <f>('Premissas Técnicas'!$D$75+'Premissas Técnicas'!$D$76*P186)*P155*$D$14</f>
        <v>647.47850925925923</v>
      </c>
      <c r="Q111" s="486">
        <f>('Premissas Técnicas'!$D$75+'Premissas Técnicas'!$D$76*Q186)*Q155*$D$14</f>
        <v>647.47850925925923</v>
      </c>
      <c r="R111" s="486">
        <f>('Premissas Técnicas'!$D$75+'Premissas Técnicas'!$D$76*R186)*R155*$D$14</f>
        <v>647.47850925925923</v>
      </c>
      <c r="S111" s="486">
        <f>('Premissas Técnicas'!$D$75+'Premissas Técnicas'!$D$76*S186)*S155*$D$14</f>
        <v>647.47850925925923</v>
      </c>
      <c r="T111" s="486">
        <f>('Premissas Técnicas'!$D$75+'Premissas Técnicas'!$D$76*T186)*T155*$D$14</f>
        <v>647.47850925925923</v>
      </c>
      <c r="U111" s="486">
        <f>('Premissas Técnicas'!$D$75+'Premissas Técnicas'!$D$76*U186)*U155*$D$14</f>
        <v>647.47850925925923</v>
      </c>
      <c r="V111" s="486">
        <f>('Premissas Técnicas'!$D$75+'Premissas Técnicas'!$D$76*V186)*V155*$D$14</f>
        <v>647.47850925925923</v>
      </c>
      <c r="W111" s="486">
        <f>('Premissas Técnicas'!$D$75+'Premissas Técnicas'!$D$76*W186)*W155*$D$14</f>
        <v>647.47850925925923</v>
      </c>
      <c r="X111" s="486">
        <f>('Premissas Técnicas'!$D$75+'Premissas Técnicas'!$D$76*X186)*X155*$D$14</f>
        <v>647.47850925925923</v>
      </c>
      <c r="Y111" s="486">
        <f>('Premissas Técnicas'!$D$75+'Premissas Técnicas'!$D$76*Y186)*Y155*$D$14</f>
        <v>647.47850925925923</v>
      </c>
      <c r="Z111" s="486">
        <f>('Premissas Técnicas'!$D$75+'Premissas Técnicas'!$D$76*Z186)*Z155*$D$14</f>
        <v>647.47850925925923</v>
      </c>
      <c r="AA111" s="486">
        <f>('Premissas Técnicas'!$D$75+'Premissas Técnicas'!$D$76*AA186)*AA155*$D$14</f>
        <v>647.47850925925923</v>
      </c>
      <c r="AB111" s="486">
        <f>('Premissas Técnicas'!$D$75+'Premissas Técnicas'!$D$76*AB186)*AB155*$D$14</f>
        <v>647.47850925925923</v>
      </c>
      <c r="AC111" s="486">
        <f>('Premissas Técnicas'!$D$75+'Premissas Técnicas'!$D$76*AC186)*AC155*$D$14</f>
        <v>647.47850925925923</v>
      </c>
      <c r="AD111" s="486">
        <f>('Premissas Técnicas'!$D$75+'Premissas Técnicas'!$D$76*AD186)*AD155*$D$14</f>
        <v>647.47850925925923</v>
      </c>
      <c r="AE111" s="486">
        <f>('Premissas Técnicas'!$D$75+'Premissas Técnicas'!$D$76*AE186)*AE155*$D$14</f>
        <v>647.47850925925923</v>
      </c>
      <c r="AF111" s="486">
        <f>('Premissas Técnicas'!$D$75+'Premissas Técnicas'!$D$76*AF186)*AF155*$D$14</f>
        <v>647.47850925925923</v>
      </c>
      <c r="AG111" s="486">
        <f>('Premissas Técnicas'!$D$75+'Premissas Técnicas'!$D$76*AG186)*AG155*$D$14</f>
        <v>647.47850925925923</v>
      </c>
      <c r="AH111" s="486">
        <f>('Premissas Técnicas'!$D$75+'Premissas Técnicas'!$D$76*AH186)*AH155*$D$14</f>
        <v>647.47850925925923</v>
      </c>
      <c r="AI111" s="486">
        <f>('Premissas Técnicas'!$D$75+'Premissas Técnicas'!$D$76*AI186)*AI155*$D$14</f>
        <v>647.47850925925923</v>
      </c>
      <c r="AJ111" s="231"/>
    </row>
    <row r="112" spans="1:36" s="357" customFormat="1" ht="12">
      <c r="B112" s="477" t="str">
        <f>B119</f>
        <v>ETE Rio Toledo</v>
      </c>
      <c r="D112" s="448"/>
      <c r="E112" s="486">
        <f>('Premissas Técnicas'!$D$75+'Premissas Técnicas'!$D$76*E187)*E156*$D$14</f>
        <v>0</v>
      </c>
      <c r="F112" s="486">
        <f>('Premissas Técnicas'!$D$75+'Premissas Técnicas'!$D$76*F187)*F156*$D$14</f>
        <v>0</v>
      </c>
      <c r="G112" s="486">
        <f>('Premissas Técnicas'!$D$75+'Premissas Técnicas'!$D$76*G187)*G156*$D$14</f>
        <v>0</v>
      </c>
      <c r="H112" s="486">
        <f>('Premissas Técnicas'!$D$75+'Premissas Técnicas'!$D$76*H187)*H156*$D$14</f>
        <v>0</v>
      </c>
      <c r="I112" s="486">
        <f>('Premissas Técnicas'!$D$75+'Premissas Técnicas'!$D$76*I187)*I156*$D$14</f>
        <v>0</v>
      </c>
      <c r="J112" s="486">
        <f>('Premissas Técnicas'!$D$75+'Premissas Técnicas'!$D$76*J187)*J156*$D$14</f>
        <v>0</v>
      </c>
      <c r="K112" s="486">
        <f>('Premissas Técnicas'!$D$75+'Premissas Técnicas'!$D$76*K187)*K156*$D$14</f>
        <v>0</v>
      </c>
      <c r="L112" s="486">
        <f>('Premissas Técnicas'!$D$75+'Premissas Técnicas'!$D$76*L187)*L156*$D$14</f>
        <v>216.06290925925924</v>
      </c>
      <c r="M112" s="486">
        <f>('Premissas Técnicas'!$D$75+'Premissas Técnicas'!$D$76*M187)*M156*$D$14</f>
        <v>333.72170925925928</v>
      </c>
      <c r="N112" s="486">
        <f>('Premissas Técnicas'!$D$75+'Premissas Técnicas'!$D$76*N187)*N156*$D$14</f>
        <v>333.72170925925928</v>
      </c>
      <c r="O112" s="486">
        <f>('Premissas Técnicas'!$D$75+'Premissas Técnicas'!$D$76*O187)*O156*$D$14</f>
        <v>333.72170925925928</v>
      </c>
      <c r="P112" s="486">
        <f>('Premissas Técnicas'!$D$75+'Premissas Técnicas'!$D$76*P187)*P156*$D$14</f>
        <v>333.72170925925928</v>
      </c>
      <c r="Q112" s="486">
        <f>('Premissas Técnicas'!$D$75+'Premissas Técnicas'!$D$76*Q187)*Q156*$D$14</f>
        <v>333.72170925925928</v>
      </c>
      <c r="R112" s="486">
        <f>('Premissas Técnicas'!$D$75+'Premissas Técnicas'!$D$76*R187)*R156*$D$14</f>
        <v>333.72170925925928</v>
      </c>
      <c r="S112" s="486">
        <f>('Premissas Técnicas'!$D$75+'Premissas Técnicas'!$D$76*S187)*S156*$D$14</f>
        <v>333.72170925925928</v>
      </c>
      <c r="T112" s="486">
        <f>('Premissas Técnicas'!$D$75+'Premissas Técnicas'!$D$76*T187)*T156*$D$14</f>
        <v>333.72170925925928</v>
      </c>
      <c r="U112" s="486">
        <f>('Premissas Técnicas'!$D$75+'Premissas Técnicas'!$D$76*U187)*U156*$D$14</f>
        <v>333.72170925925928</v>
      </c>
      <c r="V112" s="486">
        <f>('Premissas Técnicas'!$D$75+'Premissas Técnicas'!$D$76*V187)*V156*$D$14</f>
        <v>333.72170925925928</v>
      </c>
      <c r="W112" s="486">
        <f>('Premissas Técnicas'!$D$75+'Premissas Técnicas'!$D$76*W187)*W156*$D$14</f>
        <v>333.72170925925928</v>
      </c>
      <c r="X112" s="486">
        <f>('Premissas Técnicas'!$D$75+'Premissas Técnicas'!$D$76*X187)*X156*$D$14</f>
        <v>333.72170925925928</v>
      </c>
      <c r="Y112" s="486">
        <f>('Premissas Técnicas'!$D$75+'Premissas Técnicas'!$D$76*Y187)*Y156*$D$14</f>
        <v>333.72170925925928</v>
      </c>
      <c r="Z112" s="486">
        <f>('Premissas Técnicas'!$D$75+'Premissas Técnicas'!$D$76*Z187)*Z156*$D$14</f>
        <v>333.72170925925928</v>
      </c>
      <c r="AA112" s="486">
        <f>('Premissas Técnicas'!$D$75+'Premissas Técnicas'!$D$76*AA187)*AA156*$D$14</f>
        <v>333.72170925925928</v>
      </c>
      <c r="AB112" s="486">
        <f>('Premissas Técnicas'!$D$75+'Premissas Técnicas'!$D$76*AB187)*AB156*$D$14</f>
        <v>333.72170925925928</v>
      </c>
      <c r="AC112" s="486">
        <f>('Premissas Técnicas'!$D$75+'Premissas Técnicas'!$D$76*AC187)*AC156*$D$14</f>
        <v>333.72170925925928</v>
      </c>
      <c r="AD112" s="486">
        <f>('Premissas Técnicas'!$D$75+'Premissas Técnicas'!$D$76*AD187)*AD156*$D$14</f>
        <v>333.72170925925928</v>
      </c>
      <c r="AE112" s="486">
        <f>('Premissas Técnicas'!$D$75+'Premissas Técnicas'!$D$76*AE187)*AE156*$D$14</f>
        <v>333.72170925925928</v>
      </c>
      <c r="AF112" s="486">
        <f>('Premissas Técnicas'!$D$75+'Premissas Técnicas'!$D$76*AF187)*AF156*$D$14</f>
        <v>333.72170925925928</v>
      </c>
      <c r="AG112" s="486">
        <f>('Premissas Técnicas'!$D$75+'Premissas Técnicas'!$D$76*AG187)*AG156*$D$14</f>
        <v>333.72170925925928</v>
      </c>
      <c r="AH112" s="486">
        <f>('Premissas Técnicas'!$D$75+'Premissas Técnicas'!$D$76*AH187)*AH156*$D$14</f>
        <v>333.72170925925928</v>
      </c>
      <c r="AI112" s="486">
        <f>('Premissas Técnicas'!$D$75+'Premissas Técnicas'!$D$76*AI187)*AI156*$D$14</f>
        <v>333.72170925925928</v>
      </c>
      <c r="AJ112" s="231"/>
    </row>
    <row r="113" spans="2:36" s="357" customFormat="1" ht="12">
      <c r="B113" s="477" t="str">
        <f>B120</f>
        <v>ETE Verde</v>
      </c>
      <c r="D113" s="448"/>
      <c r="E113" s="486">
        <f>('Premissas Técnicas'!$D$75+'Premissas Técnicas'!$D$76*E188)*E157*$D$14</f>
        <v>0</v>
      </c>
      <c r="F113" s="486">
        <f>('Premissas Técnicas'!$D$75+'Premissas Técnicas'!$D$76*F188)*F157*$D$14</f>
        <v>0</v>
      </c>
      <c r="G113" s="486">
        <f>('Premissas Técnicas'!$D$75+'Premissas Técnicas'!$D$76*G188)*G157*$D$14</f>
        <v>0</v>
      </c>
      <c r="H113" s="486">
        <f>('Premissas Técnicas'!$D$75+'Premissas Técnicas'!$D$76*H188)*H157*$D$14</f>
        <v>0</v>
      </c>
      <c r="I113" s="486">
        <f>('Premissas Técnicas'!$D$75+'Premissas Técnicas'!$D$76*I188)*I157*$D$14</f>
        <v>0</v>
      </c>
      <c r="J113" s="486">
        <f>('Premissas Técnicas'!$D$75+'Premissas Técnicas'!$D$76*J188)*J157*$D$14</f>
        <v>0</v>
      </c>
      <c r="K113" s="486">
        <f>('Premissas Técnicas'!$D$75+'Premissas Técnicas'!$D$76*K188)*K157*$D$14</f>
        <v>0</v>
      </c>
      <c r="L113" s="486">
        <f>('Premissas Técnicas'!$D$75+'Premissas Técnicas'!$D$76*L188)*L157*$D$14</f>
        <v>0</v>
      </c>
      <c r="M113" s="486">
        <f>('Premissas Técnicas'!$D$75+'Premissas Técnicas'!$D$76*M188)*M157*$D$14</f>
        <v>176.84330925925926</v>
      </c>
      <c r="N113" s="486">
        <f>('Premissas Técnicas'!$D$75+'Premissas Técnicas'!$D$76*N188)*N157*$D$14</f>
        <v>255.28250925925926</v>
      </c>
      <c r="O113" s="486">
        <f>('Premissas Técnicas'!$D$75+'Premissas Técnicas'!$D$76*O188)*O157*$D$14</f>
        <v>255.28250925925926</v>
      </c>
      <c r="P113" s="486">
        <f>('Premissas Técnicas'!$D$75+'Premissas Técnicas'!$D$76*P188)*P157*$D$14</f>
        <v>255.28250925925926</v>
      </c>
      <c r="Q113" s="486">
        <f>('Premissas Técnicas'!$D$75+'Premissas Técnicas'!$D$76*Q188)*Q157*$D$14</f>
        <v>255.28250925925926</v>
      </c>
      <c r="R113" s="486">
        <f>('Premissas Técnicas'!$D$75+'Premissas Técnicas'!$D$76*R188)*R157*$D$14</f>
        <v>255.28250925925926</v>
      </c>
      <c r="S113" s="486">
        <f>('Premissas Técnicas'!$D$75+'Premissas Técnicas'!$D$76*S188)*S157*$D$14</f>
        <v>255.28250925925926</v>
      </c>
      <c r="T113" s="486">
        <f>('Premissas Técnicas'!$D$75+'Premissas Técnicas'!$D$76*T188)*T157*$D$14</f>
        <v>255.28250925925926</v>
      </c>
      <c r="U113" s="486">
        <f>('Premissas Técnicas'!$D$75+'Premissas Técnicas'!$D$76*U188)*U157*$D$14</f>
        <v>255.28250925925926</v>
      </c>
      <c r="V113" s="486">
        <f>('Premissas Técnicas'!$D$75+'Premissas Técnicas'!$D$76*V188)*V157*$D$14</f>
        <v>255.28250925925926</v>
      </c>
      <c r="W113" s="486">
        <f>('Premissas Técnicas'!$D$75+'Premissas Técnicas'!$D$76*W188)*W157*$D$14</f>
        <v>255.28250925925926</v>
      </c>
      <c r="X113" s="486">
        <f>('Premissas Técnicas'!$D$75+'Premissas Técnicas'!$D$76*X188)*X157*$D$14</f>
        <v>255.28250925925926</v>
      </c>
      <c r="Y113" s="486">
        <f>('Premissas Técnicas'!$D$75+'Premissas Técnicas'!$D$76*Y188)*Y157*$D$14</f>
        <v>255.28250925925926</v>
      </c>
      <c r="Z113" s="486">
        <f>('Premissas Técnicas'!$D$75+'Premissas Técnicas'!$D$76*Z188)*Z157*$D$14</f>
        <v>255.28250925925926</v>
      </c>
      <c r="AA113" s="486">
        <f>('Premissas Técnicas'!$D$75+'Premissas Técnicas'!$D$76*AA188)*AA157*$D$14</f>
        <v>255.28250925925926</v>
      </c>
      <c r="AB113" s="486">
        <f>('Premissas Técnicas'!$D$75+'Premissas Técnicas'!$D$76*AB188)*AB157*$D$14</f>
        <v>255.28250925925926</v>
      </c>
      <c r="AC113" s="486">
        <f>('Premissas Técnicas'!$D$75+'Premissas Técnicas'!$D$76*AC188)*AC157*$D$14</f>
        <v>255.28250925925926</v>
      </c>
      <c r="AD113" s="486">
        <f>('Premissas Técnicas'!$D$75+'Premissas Técnicas'!$D$76*AD188)*AD157*$D$14</f>
        <v>255.28250925925926</v>
      </c>
      <c r="AE113" s="486">
        <f>('Premissas Técnicas'!$D$75+'Premissas Técnicas'!$D$76*AE188)*AE157*$D$14</f>
        <v>255.28250925925926</v>
      </c>
      <c r="AF113" s="486">
        <f>('Premissas Técnicas'!$D$75+'Premissas Técnicas'!$D$76*AF188)*AF157*$D$14</f>
        <v>255.28250925925926</v>
      </c>
      <c r="AG113" s="486">
        <f>('Premissas Técnicas'!$D$75+'Premissas Técnicas'!$D$76*AG188)*AG157*$D$14</f>
        <v>255.28250925925926</v>
      </c>
      <c r="AH113" s="486">
        <f>('Premissas Técnicas'!$D$75+'Premissas Técnicas'!$D$76*AH188)*AH157*$D$14</f>
        <v>255.28250925925926</v>
      </c>
      <c r="AI113" s="486">
        <f>('Premissas Técnicas'!$D$75+'Premissas Técnicas'!$D$76*AI188)*AI157*$D$14</f>
        <v>255.28250925925926</v>
      </c>
      <c r="AJ113" s="231"/>
    </row>
    <row r="114" spans="2:36" s="357" customFormat="1" ht="12">
      <c r="D114" s="448"/>
      <c r="E114" s="487"/>
      <c r="F114" s="487"/>
      <c r="G114" s="487"/>
      <c r="H114" s="487"/>
      <c r="I114" s="487"/>
      <c r="J114" s="487"/>
      <c r="K114" s="487"/>
      <c r="L114" s="487"/>
      <c r="M114" s="487"/>
      <c r="N114" s="487"/>
      <c r="O114" s="487"/>
      <c r="P114" s="487"/>
      <c r="Q114" s="487"/>
      <c r="R114" s="487"/>
      <c r="S114" s="487"/>
      <c r="T114" s="487"/>
      <c r="U114" s="487"/>
      <c r="V114" s="487"/>
      <c r="W114" s="487"/>
      <c r="X114" s="487"/>
      <c r="Y114" s="487"/>
      <c r="Z114" s="487"/>
      <c r="AA114" s="487"/>
      <c r="AB114" s="487"/>
      <c r="AC114" s="487"/>
      <c r="AD114" s="487"/>
      <c r="AE114" s="487"/>
      <c r="AF114" s="487"/>
      <c r="AG114" s="487"/>
      <c r="AH114" s="487"/>
      <c r="AI114" s="487"/>
    </row>
    <row r="115" spans="2:36" s="357" customFormat="1" ht="12">
      <c r="B115" s="447" t="s">
        <v>449</v>
      </c>
      <c r="C115" s="447"/>
      <c r="D115" s="479"/>
      <c r="E115" s="485">
        <f>SUM(E116:E120)</f>
        <v>0</v>
      </c>
      <c r="F115" s="485">
        <f t="shared" ref="F115:AI115" si="52">SUM(F116:F120)</f>
        <v>0</v>
      </c>
      <c r="G115" s="485">
        <f t="shared" si="52"/>
        <v>0</v>
      </c>
      <c r="H115" s="485">
        <f t="shared" si="52"/>
        <v>261.66067200000003</v>
      </c>
      <c r="I115" s="485">
        <f t="shared" si="52"/>
        <v>523.32134400000007</v>
      </c>
      <c r="J115" s="485">
        <f t="shared" si="52"/>
        <v>523.32134400000007</v>
      </c>
      <c r="K115" s="485">
        <f t="shared" si="52"/>
        <v>686.85926400000005</v>
      </c>
      <c r="L115" s="485">
        <f t="shared" si="52"/>
        <v>850.39718400000004</v>
      </c>
      <c r="M115" s="485">
        <f t="shared" si="52"/>
        <v>904.90982400000007</v>
      </c>
      <c r="N115" s="485">
        <f t="shared" si="52"/>
        <v>948.51993600000003</v>
      </c>
      <c r="O115" s="485">
        <f t="shared" si="52"/>
        <v>948.51993600000003</v>
      </c>
      <c r="P115" s="485">
        <f t="shared" si="52"/>
        <v>948.51993600000003</v>
      </c>
      <c r="Q115" s="485">
        <f t="shared" si="52"/>
        <v>948.51993600000003</v>
      </c>
      <c r="R115" s="485">
        <f t="shared" si="52"/>
        <v>948.51993600000003</v>
      </c>
      <c r="S115" s="485">
        <f t="shared" si="52"/>
        <v>948.51993600000003</v>
      </c>
      <c r="T115" s="485">
        <f t="shared" si="52"/>
        <v>948.51993600000003</v>
      </c>
      <c r="U115" s="485">
        <f t="shared" si="52"/>
        <v>948.51993600000003</v>
      </c>
      <c r="V115" s="485">
        <f t="shared" si="52"/>
        <v>948.51993600000003</v>
      </c>
      <c r="W115" s="485">
        <f t="shared" si="52"/>
        <v>948.51993600000003</v>
      </c>
      <c r="X115" s="485">
        <f t="shared" si="52"/>
        <v>948.51993600000003</v>
      </c>
      <c r="Y115" s="485">
        <f t="shared" si="52"/>
        <v>948.51993600000003</v>
      </c>
      <c r="Z115" s="485">
        <f t="shared" si="52"/>
        <v>948.51993600000003</v>
      </c>
      <c r="AA115" s="485">
        <f t="shared" si="52"/>
        <v>948.51993600000003</v>
      </c>
      <c r="AB115" s="485">
        <f t="shared" si="52"/>
        <v>948.51993600000003</v>
      </c>
      <c r="AC115" s="485">
        <f t="shared" si="52"/>
        <v>948.51993600000003</v>
      </c>
      <c r="AD115" s="485">
        <f t="shared" si="52"/>
        <v>948.51993600000003</v>
      </c>
      <c r="AE115" s="485">
        <f t="shared" si="52"/>
        <v>948.51993600000003</v>
      </c>
      <c r="AF115" s="485">
        <f t="shared" si="52"/>
        <v>948.51993600000003</v>
      </c>
      <c r="AG115" s="485">
        <f t="shared" si="52"/>
        <v>948.51993600000003</v>
      </c>
      <c r="AH115" s="485">
        <f t="shared" si="52"/>
        <v>948.51993600000003</v>
      </c>
      <c r="AI115" s="485">
        <f t="shared" si="52"/>
        <v>948.51993600000003</v>
      </c>
      <c r="AJ115" s="484"/>
    </row>
    <row r="116" spans="2:36" s="357" customFormat="1" ht="12">
      <c r="B116" s="477" t="str" cm="1">
        <f t="array" ref="B116">_xlfn.ANCHORARRAY(B89)</f>
        <v>ETE Atuba Sul</v>
      </c>
      <c r="D116" s="448"/>
      <c r="E116" s="486">
        <f>('Premissas Técnicas'!$D$85+'Premissas Técnicas'!F88)*E153*$D$15</f>
        <v>0</v>
      </c>
      <c r="F116" s="486">
        <f>('Premissas Técnicas'!$D$85+'Premissas Técnicas'!G88)*F153*$D$15</f>
        <v>0</v>
      </c>
      <c r="G116" s="486">
        <f>('Premissas Técnicas'!$D$85+'Premissas Técnicas'!H88)*G153*$D$15</f>
        <v>0</v>
      </c>
      <c r="H116" s="486">
        <f>('Premissas Técnicas'!$D$85+'Premissas Técnicas'!I88)*H153*$D$15</f>
        <v>261.66067200000003</v>
      </c>
      <c r="I116" s="486">
        <f>('Premissas Técnicas'!$D$85+'Premissas Técnicas'!J88)*I153*$D$15</f>
        <v>523.32134400000007</v>
      </c>
      <c r="J116" s="486">
        <f>('Premissas Técnicas'!$D$85+'Premissas Técnicas'!K88)*J153*$D$15</f>
        <v>523.32134400000007</v>
      </c>
      <c r="K116" s="486">
        <f>('Premissas Técnicas'!$D$85+'Premissas Técnicas'!L88)*K153*$D$15</f>
        <v>523.32134400000007</v>
      </c>
      <c r="L116" s="486">
        <f>('Premissas Técnicas'!$D$85+'Premissas Técnicas'!M88)*L153*$D$15</f>
        <v>523.32134400000007</v>
      </c>
      <c r="M116" s="486">
        <f>('Premissas Técnicas'!$D$85+'Premissas Técnicas'!N88)*M153*$D$15</f>
        <v>523.32134400000007</v>
      </c>
      <c r="N116" s="486">
        <f>('Premissas Técnicas'!$D$85+'Premissas Técnicas'!O88)*N153*$D$15</f>
        <v>523.32134400000007</v>
      </c>
      <c r="O116" s="486">
        <f>('Premissas Técnicas'!$D$85+'Premissas Técnicas'!P88)*O153*$D$15</f>
        <v>523.32134400000007</v>
      </c>
      <c r="P116" s="486">
        <f>('Premissas Técnicas'!$D$85+'Premissas Técnicas'!Q88)*P153*$D$15</f>
        <v>523.32134400000007</v>
      </c>
      <c r="Q116" s="486">
        <f>('Premissas Técnicas'!$D$85+'Premissas Técnicas'!R88)*Q153*$D$15</f>
        <v>523.32134400000007</v>
      </c>
      <c r="R116" s="486">
        <f>('Premissas Técnicas'!$D$85+'Premissas Técnicas'!S88)*R153*$D$15</f>
        <v>523.32134400000007</v>
      </c>
      <c r="S116" s="486">
        <f>('Premissas Técnicas'!$D$85+'Premissas Técnicas'!T88)*S153*$D$15</f>
        <v>523.32134400000007</v>
      </c>
      <c r="T116" s="486">
        <f>('Premissas Técnicas'!$D$85+'Premissas Técnicas'!U88)*T153*$D$15</f>
        <v>523.32134400000007</v>
      </c>
      <c r="U116" s="486">
        <f>('Premissas Técnicas'!$D$85+'Premissas Técnicas'!V88)*U153*$D$15</f>
        <v>523.32134400000007</v>
      </c>
      <c r="V116" s="486">
        <f>('Premissas Técnicas'!$D$85+'Premissas Técnicas'!W88)*V153*$D$15</f>
        <v>523.32134400000007</v>
      </c>
      <c r="W116" s="486">
        <f>('Premissas Técnicas'!$D$85+'Premissas Técnicas'!X88)*W153*$D$15</f>
        <v>523.32134400000007</v>
      </c>
      <c r="X116" s="486">
        <f>('Premissas Técnicas'!$D$85+'Premissas Técnicas'!Y88)*X153*$D$15</f>
        <v>523.32134400000007</v>
      </c>
      <c r="Y116" s="486">
        <f>('Premissas Técnicas'!$D$85+'Premissas Técnicas'!Z88)*Y153*$D$15</f>
        <v>523.32134400000007</v>
      </c>
      <c r="Z116" s="486">
        <f>('Premissas Técnicas'!$D$85+'Premissas Técnicas'!AA88)*Z153*$D$15</f>
        <v>523.32134400000007</v>
      </c>
      <c r="AA116" s="486">
        <f>('Premissas Técnicas'!$D$85+'Premissas Técnicas'!AB88)*AA153*$D$15</f>
        <v>523.32134400000007</v>
      </c>
      <c r="AB116" s="486">
        <f>('Premissas Técnicas'!$D$85+'Premissas Técnicas'!AC88)*AB153*$D$15</f>
        <v>523.32134400000007</v>
      </c>
      <c r="AC116" s="486">
        <f>('Premissas Técnicas'!$D$85+'Premissas Técnicas'!AD88)*AC153*$D$15</f>
        <v>523.32134400000007</v>
      </c>
      <c r="AD116" s="486">
        <f>('Premissas Técnicas'!$D$85+'Premissas Técnicas'!AE88)*AD153*$D$15</f>
        <v>523.32134400000007</v>
      </c>
      <c r="AE116" s="486">
        <f>('Premissas Técnicas'!$D$85+'Premissas Técnicas'!AF88)*AE153*$D$15</f>
        <v>523.32134400000007</v>
      </c>
      <c r="AF116" s="486">
        <f>('Premissas Técnicas'!$D$85+'Premissas Técnicas'!AG88)*AF153*$D$15</f>
        <v>523.32134400000007</v>
      </c>
      <c r="AG116" s="486">
        <f>('Premissas Técnicas'!$D$85+'Premissas Técnicas'!AH88)*AG153*$D$15</f>
        <v>523.32134400000007</v>
      </c>
      <c r="AH116" s="486">
        <f>('Premissas Técnicas'!$D$85+'Premissas Técnicas'!AI88)*AH153*$D$15</f>
        <v>523.32134400000007</v>
      </c>
      <c r="AI116" s="486">
        <f>('Premissas Técnicas'!$D$85+'Premissas Técnicas'!AJ88)*AI153*$D$15</f>
        <v>523.32134400000007</v>
      </c>
      <c r="AJ116" s="231"/>
    </row>
    <row r="117" spans="2:36" s="357" customFormat="1" ht="12">
      <c r="B117" s="477" t="str" cm="1">
        <f t="array" ref="B117">_xlfn.ANCHORARRAY(B90)</f>
        <v>ETE Cafezal</v>
      </c>
      <c r="D117" s="448"/>
      <c r="E117" s="486">
        <f>('Premissas Técnicas'!$D$85+'Premissas Técnicas'!F89)*E154*$D$15</f>
        <v>0</v>
      </c>
      <c r="F117" s="486">
        <f>('Premissas Técnicas'!$D$85+'Premissas Técnicas'!G89)*F154*$D$15</f>
        <v>0</v>
      </c>
      <c r="G117" s="486">
        <f>('Premissas Técnicas'!$D$85+'Premissas Técnicas'!H89)*G154*$D$15</f>
        <v>0</v>
      </c>
      <c r="H117" s="486">
        <f>('Premissas Técnicas'!$D$85+'Premissas Técnicas'!I89)*H154*$D$15</f>
        <v>0</v>
      </c>
      <c r="I117" s="486">
        <f>('Premissas Técnicas'!$D$85+'Premissas Técnicas'!J89)*I154*$D$15</f>
        <v>0</v>
      </c>
      <c r="J117" s="486">
        <f>('Premissas Técnicas'!$D$85+'Premissas Técnicas'!K89)*J154*$D$15</f>
        <v>0</v>
      </c>
      <c r="K117" s="486">
        <f>('Premissas Técnicas'!$D$85+'Premissas Técnicas'!L89)*K154*$D$15</f>
        <v>0</v>
      </c>
      <c r="L117" s="486">
        <f>('Premissas Técnicas'!$D$85+'Premissas Técnicas'!M89)*L154*$D$15</f>
        <v>0</v>
      </c>
      <c r="M117" s="486">
        <f>('Premissas Técnicas'!$D$85+'Premissas Técnicas'!N89)*M154*$D$15</f>
        <v>0</v>
      </c>
      <c r="N117" s="486">
        <f>('Premissas Técnicas'!$D$85+'Premissas Técnicas'!O89)*N154*$D$15</f>
        <v>0</v>
      </c>
      <c r="O117" s="486">
        <f>('Premissas Técnicas'!$D$85+'Premissas Técnicas'!P89)*O154*$D$15</f>
        <v>0</v>
      </c>
      <c r="P117" s="486">
        <f>('Premissas Técnicas'!$D$85+'Premissas Técnicas'!Q89)*P154*$D$15</f>
        <v>0</v>
      </c>
      <c r="Q117" s="486">
        <f>('Premissas Técnicas'!$D$85+'Premissas Técnicas'!R89)*Q154*$D$15</f>
        <v>0</v>
      </c>
      <c r="R117" s="486">
        <f>('Premissas Técnicas'!$D$85+'Premissas Técnicas'!S89)*R154*$D$15</f>
        <v>0</v>
      </c>
      <c r="S117" s="486">
        <f>('Premissas Técnicas'!$D$85+'Premissas Técnicas'!T89)*S154*$D$15</f>
        <v>0</v>
      </c>
      <c r="T117" s="486">
        <f>('Premissas Técnicas'!$D$85+'Premissas Técnicas'!U89)*T154*$D$15</f>
        <v>0</v>
      </c>
      <c r="U117" s="486">
        <f>('Premissas Técnicas'!$D$85+'Premissas Técnicas'!V89)*U154*$D$15</f>
        <v>0</v>
      </c>
      <c r="V117" s="486">
        <f>('Premissas Técnicas'!$D$85+'Premissas Técnicas'!W89)*V154*$D$15</f>
        <v>0</v>
      </c>
      <c r="W117" s="486">
        <f>('Premissas Técnicas'!$D$85+'Premissas Técnicas'!X89)*W154*$D$15</f>
        <v>0</v>
      </c>
      <c r="X117" s="486">
        <f>('Premissas Técnicas'!$D$85+'Premissas Técnicas'!Y89)*X154*$D$15</f>
        <v>0</v>
      </c>
      <c r="Y117" s="486">
        <f>('Premissas Técnicas'!$D$85+'Premissas Técnicas'!Z89)*Y154*$D$15</f>
        <v>0</v>
      </c>
      <c r="Z117" s="486">
        <f>('Premissas Técnicas'!$D$85+'Premissas Técnicas'!AA89)*Z154*$D$15</f>
        <v>0</v>
      </c>
      <c r="AA117" s="486">
        <f>('Premissas Técnicas'!$D$85+'Premissas Técnicas'!AB89)*AA154*$D$15</f>
        <v>0</v>
      </c>
      <c r="AB117" s="486">
        <f>('Premissas Técnicas'!$D$85+'Premissas Técnicas'!AC89)*AB154*$D$15</f>
        <v>0</v>
      </c>
      <c r="AC117" s="486">
        <f>('Premissas Técnicas'!$D$85+'Premissas Técnicas'!AD89)*AC154*$D$15</f>
        <v>0</v>
      </c>
      <c r="AD117" s="486">
        <f>('Premissas Técnicas'!$D$85+'Premissas Técnicas'!AE89)*AD154*$D$15</f>
        <v>0</v>
      </c>
      <c r="AE117" s="486">
        <f>('Premissas Técnicas'!$D$85+'Premissas Técnicas'!AF89)*AE154*$D$15</f>
        <v>0</v>
      </c>
      <c r="AF117" s="486">
        <f>('Premissas Técnicas'!$D$85+'Premissas Técnicas'!AG89)*AF154*$D$15</f>
        <v>0</v>
      </c>
      <c r="AG117" s="486">
        <f>('Premissas Técnicas'!$D$85+'Premissas Técnicas'!AH89)*AG154*$D$15</f>
        <v>0</v>
      </c>
      <c r="AH117" s="486">
        <f>('Premissas Técnicas'!$D$85+'Premissas Técnicas'!AI89)*AH154*$D$15</f>
        <v>0</v>
      </c>
      <c r="AI117" s="486">
        <f>('Premissas Técnicas'!$D$85+'Premissas Técnicas'!AJ89)*AI154*$D$15</f>
        <v>0</v>
      </c>
      <c r="AJ117" s="231"/>
    </row>
    <row r="118" spans="2:36" s="357" customFormat="1" ht="12" customHeight="1">
      <c r="B118" s="477" t="str" cm="1">
        <f t="array" ref="B118">_xlfn.ANCHORARRAY(B91)</f>
        <v>ETE CIC-Xisto</v>
      </c>
      <c r="D118" s="448"/>
      <c r="E118" s="486">
        <f>('Premissas Técnicas'!$D$85+'Premissas Técnicas'!F90)*E155*$D$15</f>
        <v>0</v>
      </c>
      <c r="F118" s="486">
        <f>('Premissas Técnicas'!$D$85+'Premissas Técnicas'!G90)*F155*$D$15</f>
        <v>0</v>
      </c>
      <c r="G118" s="486">
        <f>('Premissas Técnicas'!$D$85+'Premissas Técnicas'!H90)*G155*$D$15</f>
        <v>0</v>
      </c>
      <c r="H118" s="486">
        <f>('Premissas Técnicas'!$D$85+'Premissas Técnicas'!I90)*H155*$D$15</f>
        <v>0</v>
      </c>
      <c r="I118" s="486">
        <f>('Premissas Técnicas'!$D$85+'Premissas Técnicas'!J90)*I155*$D$15</f>
        <v>0</v>
      </c>
      <c r="J118" s="486">
        <f>('Premissas Técnicas'!$D$85+'Premissas Técnicas'!K90)*J155*$D$15</f>
        <v>0</v>
      </c>
      <c r="K118" s="486">
        <f>('Premissas Técnicas'!$D$85+'Premissas Técnicas'!L90)*K155*$D$15</f>
        <v>163.53792000000001</v>
      </c>
      <c r="L118" s="486">
        <f>('Premissas Técnicas'!$D$85+'Premissas Técnicas'!M90)*L155*$D$15</f>
        <v>316.17331200000001</v>
      </c>
      <c r="M118" s="486">
        <f>('Premissas Técnicas'!$D$85+'Premissas Técnicas'!N90)*M155*$D$15</f>
        <v>316.17331200000001</v>
      </c>
      <c r="N118" s="486">
        <f>('Premissas Técnicas'!$D$85+'Premissas Técnicas'!O90)*N155*$D$15</f>
        <v>316.17331200000001</v>
      </c>
      <c r="O118" s="486">
        <f>('Premissas Técnicas'!$D$85+'Premissas Técnicas'!P90)*O155*$D$15</f>
        <v>316.17331200000001</v>
      </c>
      <c r="P118" s="486">
        <f>('Premissas Técnicas'!$D$85+'Premissas Técnicas'!Q90)*P155*$D$15</f>
        <v>316.17331200000001</v>
      </c>
      <c r="Q118" s="486">
        <f>('Premissas Técnicas'!$D$85+'Premissas Técnicas'!R90)*Q155*$D$15</f>
        <v>316.17331200000001</v>
      </c>
      <c r="R118" s="486">
        <f>('Premissas Técnicas'!$D$85+'Premissas Técnicas'!S90)*R155*$D$15</f>
        <v>316.17331200000001</v>
      </c>
      <c r="S118" s="486">
        <f>('Premissas Técnicas'!$D$85+'Premissas Técnicas'!T90)*S155*$D$15</f>
        <v>316.17331200000001</v>
      </c>
      <c r="T118" s="486">
        <f>('Premissas Técnicas'!$D$85+'Premissas Técnicas'!U90)*T155*$D$15</f>
        <v>316.17331200000001</v>
      </c>
      <c r="U118" s="486">
        <f>('Premissas Técnicas'!$D$85+'Premissas Técnicas'!V90)*U155*$D$15</f>
        <v>316.17331200000001</v>
      </c>
      <c r="V118" s="486">
        <f>('Premissas Técnicas'!$D$85+'Premissas Técnicas'!W90)*V155*$D$15</f>
        <v>316.17331200000001</v>
      </c>
      <c r="W118" s="486">
        <f>('Premissas Técnicas'!$D$85+'Premissas Técnicas'!X90)*W155*$D$15</f>
        <v>316.17331200000001</v>
      </c>
      <c r="X118" s="486">
        <f>('Premissas Técnicas'!$D$85+'Premissas Técnicas'!Y90)*X155*$D$15</f>
        <v>316.17331200000001</v>
      </c>
      <c r="Y118" s="486">
        <f>('Premissas Técnicas'!$D$85+'Premissas Técnicas'!Z90)*Y155*$D$15</f>
        <v>316.17331200000001</v>
      </c>
      <c r="Z118" s="486">
        <f>('Premissas Técnicas'!$D$85+'Premissas Técnicas'!AA90)*Z155*$D$15</f>
        <v>316.17331200000001</v>
      </c>
      <c r="AA118" s="486">
        <f>('Premissas Técnicas'!$D$85+'Premissas Técnicas'!AB90)*AA155*$D$15</f>
        <v>316.17331200000001</v>
      </c>
      <c r="AB118" s="486">
        <f>('Premissas Técnicas'!$D$85+'Premissas Técnicas'!AC90)*AB155*$D$15</f>
        <v>316.17331200000001</v>
      </c>
      <c r="AC118" s="486">
        <f>('Premissas Técnicas'!$D$85+'Premissas Técnicas'!AD90)*AC155*$D$15</f>
        <v>316.17331200000001</v>
      </c>
      <c r="AD118" s="486">
        <f>('Premissas Técnicas'!$D$85+'Premissas Técnicas'!AE90)*AD155*$D$15</f>
        <v>316.17331200000001</v>
      </c>
      <c r="AE118" s="486">
        <f>('Premissas Técnicas'!$D$85+'Premissas Técnicas'!AF90)*AE155*$D$15</f>
        <v>316.17331200000001</v>
      </c>
      <c r="AF118" s="486">
        <f>('Premissas Técnicas'!$D$85+'Premissas Técnicas'!AG90)*AF155*$D$15</f>
        <v>316.17331200000001</v>
      </c>
      <c r="AG118" s="486">
        <f>('Premissas Técnicas'!$D$85+'Premissas Técnicas'!AH90)*AG155*$D$15</f>
        <v>316.17331200000001</v>
      </c>
      <c r="AH118" s="486">
        <f>('Premissas Técnicas'!$D$85+'Premissas Técnicas'!AI90)*AH155*$D$15</f>
        <v>316.17331200000001</v>
      </c>
      <c r="AI118" s="486">
        <f>('Premissas Técnicas'!$D$85+'Premissas Técnicas'!AJ90)*AI155*$D$15</f>
        <v>316.17331200000001</v>
      </c>
      <c r="AJ118" s="231"/>
    </row>
    <row r="119" spans="2:36" s="357" customFormat="1" ht="12">
      <c r="B119" s="477" t="str" cm="1">
        <f t="array" ref="B119">_xlfn.ANCHORARRAY(B92)</f>
        <v>ETE Rio Toledo</v>
      </c>
      <c r="D119" s="448"/>
      <c r="E119" s="486">
        <f>('Premissas Técnicas'!$D$85+'Premissas Técnicas'!F91)*E156*$D$15</f>
        <v>0</v>
      </c>
      <c r="F119" s="486">
        <f>('Premissas Técnicas'!$D$85+'Premissas Técnicas'!G91)*F156*$D$15</f>
        <v>0</v>
      </c>
      <c r="G119" s="486">
        <f>('Premissas Técnicas'!$D$85+'Premissas Técnicas'!H91)*G156*$D$15</f>
        <v>0</v>
      </c>
      <c r="H119" s="486">
        <f>('Premissas Técnicas'!$D$85+'Premissas Técnicas'!I91)*H156*$D$15</f>
        <v>0</v>
      </c>
      <c r="I119" s="486">
        <f>('Premissas Técnicas'!$D$85+'Premissas Técnicas'!J91)*I156*$D$15</f>
        <v>0</v>
      </c>
      <c r="J119" s="486">
        <f>('Premissas Técnicas'!$D$85+'Premissas Técnicas'!K91)*J156*$D$15</f>
        <v>0</v>
      </c>
      <c r="K119" s="486">
        <f>('Premissas Técnicas'!$D$85+'Premissas Técnicas'!L91)*K156*$D$15</f>
        <v>0</v>
      </c>
      <c r="L119" s="486">
        <f>('Premissas Técnicas'!$D$85+'Premissas Técnicas'!M91)*L156*$D$15</f>
        <v>10.902528</v>
      </c>
      <c r="M119" s="486">
        <f>('Premissas Técnicas'!$D$85+'Premissas Técnicas'!N91)*M156*$D$15</f>
        <v>10.902528</v>
      </c>
      <c r="N119" s="486">
        <f>('Premissas Técnicas'!$D$85+'Premissas Técnicas'!O91)*N156*$D$15</f>
        <v>10.902528</v>
      </c>
      <c r="O119" s="486">
        <f>('Premissas Técnicas'!$D$85+'Premissas Técnicas'!P91)*O156*$D$15</f>
        <v>10.902528</v>
      </c>
      <c r="P119" s="486">
        <f>('Premissas Técnicas'!$D$85+'Premissas Técnicas'!Q91)*P156*$D$15</f>
        <v>10.902528</v>
      </c>
      <c r="Q119" s="486">
        <f>('Premissas Técnicas'!$D$85+'Premissas Técnicas'!R91)*Q156*$D$15</f>
        <v>10.902528</v>
      </c>
      <c r="R119" s="486">
        <f>('Premissas Técnicas'!$D$85+'Premissas Técnicas'!S91)*R156*$D$15</f>
        <v>10.902528</v>
      </c>
      <c r="S119" s="486">
        <f>('Premissas Técnicas'!$D$85+'Premissas Técnicas'!T91)*S156*$D$15</f>
        <v>10.902528</v>
      </c>
      <c r="T119" s="486">
        <f>('Premissas Técnicas'!$D$85+'Premissas Técnicas'!U91)*T156*$D$15</f>
        <v>10.902528</v>
      </c>
      <c r="U119" s="486">
        <f>('Premissas Técnicas'!$D$85+'Premissas Técnicas'!V91)*U156*$D$15</f>
        <v>10.902528</v>
      </c>
      <c r="V119" s="486">
        <f>('Premissas Técnicas'!$D$85+'Premissas Técnicas'!W91)*V156*$D$15</f>
        <v>10.902528</v>
      </c>
      <c r="W119" s="486">
        <f>('Premissas Técnicas'!$D$85+'Premissas Técnicas'!X91)*W156*$D$15</f>
        <v>10.902528</v>
      </c>
      <c r="X119" s="486">
        <f>('Premissas Técnicas'!$D$85+'Premissas Técnicas'!Y91)*X156*$D$15</f>
        <v>10.902528</v>
      </c>
      <c r="Y119" s="486">
        <f>('Premissas Técnicas'!$D$85+'Premissas Técnicas'!Z91)*Y156*$D$15</f>
        <v>10.902528</v>
      </c>
      <c r="Z119" s="486">
        <f>('Premissas Técnicas'!$D$85+'Premissas Técnicas'!AA91)*Z156*$D$15</f>
        <v>10.902528</v>
      </c>
      <c r="AA119" s="486">
        <f>('Premissas Técnicas'!$D$85+'Premissas Técnicas'!AB91)*AA156*$D$15</f>
        <v>10.902528</v>
      </c>
      <c r="AB119" s="486">
        <f>('Premissas Técnicas'!$D$85+'Premissas Técnicas'!AC91)*AB156*$D$15</f>
        <v>10.902528</v>
      </c>
      <c r="AC119" s="486">
        <f>('Premissas Técnicas'!$D$85+'Premissas Técnicas'!AD91)*AC156*$D$15</f>
        <v>10.902528</v>
      </c>
      <c r="AD119" s="486">
        <f>('Premissas Técnicas'!$D$85+'Premissas Técnicas'!AE91)*AD156*$D$15</f>
        <v>10.902528</v>
      </c>
      <c r="AE119" s="486">
        <f>('Premissas Técnicas'!$D$85+'Premissas Técnicas'!AF91)*AE156*$D$15</f>
        <v>10.902528</v>
      </c>
      <c r="AF119" s="486">
        <f>('Premissas Técnicas'!$D$85+'Premissas Técnicas'!AG91)*AF156*$D$15</f>
        <v>10.902528</v>
      </c>
      <c r="AG119" s="486">
        <f>('Premissas Técnicas'!$D$85+'Premissas Técnicas'!AH91)*AG156*$D$15</f>
        <v>10.902528</v>
      </c>
      <c r="AH119" s="486">
        <f>('Premissas Técnicas'!$D$85+'Premissas Técnicas'!AI91)*AH156*$D$15</f>
        <v>10.902528</v>
      </c>
      <c r="AI119" s="486">
        <f>('Premissas Técnicas'!$D$85+'Premissas Técnicas'!AJ91)*AI156*$D$15</f>
        <v>10.902528</v>
      </c>
      <c r="AJ119" s="231"/>
    </row>
    <row r="120" spans="2:36" s="357" customFormat="1" ht="12">
      <c r="B120" s="477" t="str" cm="1">
        <f t="array" ref="B120">_xlfn.ANCHORARRAY(B93)</f>
        <v>ETE Verde</v>
      </c>
      <c r="D120" s="448"/>
      <c r="E120" s="486">
        <f>('Premissas Técnicas'!$D$85+'Premissas Técnicas'!F92)*E157*$D$15</f>
        <v>0</v>
      </c>
      <c r="F120" s="486">
        <f>('Premissas Técnicas'!$D$85+'Premissas Técnicas'!G92)*F157*$D$15</f>
        <v>0</v>
      </c>
      <c r="G120" s="486">
        <f>('Premissas Técnicas'!$D$85+'Premissas Técnicas'!H92)*G157*$D$15</f>
        <v>0</v>
      </c>
      <c r="H120" s="486">
        <f>('Premissas Técnicas'!$D$85+'Premissas Técnicas'!I92)*H157*$D$15</f>
        <v>0</v>
      </c>
      <c r="I120" s="486">
        <f>('Premissas Técnicas'!$D$85+'Premissas Técnicas'!J92)*I157*$D$15</f>
        <v>0</v>
      </c>
      <c r="J120" s="486">
        <f>('Premissas Técnicas'!$D$85+'Premissas Técnicas'!K92)*J157*$D$15</f>
        <v>0</v>
      </c>
      <c r="K120" s="486">
        <f>('Premissas Técnicas'!$D$85+'Premissas Técnicas'!L92)*K157*$D$15</f>
        <v>0</v>
      </c>
      <c r="L120" s="486">
        <f>('Premissas Técnicas'!$D$85+'Premissas Técnicas'!M92)*L157*$D$15</f>
        <v>0</v>
      </c>
      <c r="M120" s="486">
        <f>('Premissas Técnicas'!$D$85+'Premissas Técnicas'!N92)*M157*$D$15</f>
        <v>54.512640000000005</v>
      </c>
      <c r="N120" s="486">
        <f>('Premissas Técnicas'!$D$85+'Premissas Técnicas'!O92)*N157*$D$15</f>
        <v>98.122752000000006</v>
      </c>
      <c r="O120" s="486">
        <f>('Premissas Técnicas'!$D$85+'Premissas Técnicas'!P92)*O157*$D$15</f>
        <v>98.122752000000006</v>
      </c>
      <c r="P120" s="486">
        <f>('Premissas Técnicas'!$D$85+'Premissas Técnicas'!Q92)*P157*$D$15</f>
        <v>98.122752000000006</v>
      </c>
      <c r="Q120" s="486">
        <f>('Premissas Técnicas'!$D$85+'Premissas Técnicas'!R92)*Q157*$D$15</f>
        <v>98.122752000000006</v>
      </c>
      <c r="R120" s="486">
        <f>('Premissas Técnicas'!$D$85+'Premissas Técnicas'!S92)*R157*$D$15</f>
        <v>98.122752000000006</v>
      </c>
      <c r="S120" s="486">
        <f>('Premissas Técnicas'!$D$85+'Premissas Técnicas'!T92)*S157*$D$15</f>
        <v>98.122752000000006</v>
      </c>
      <c r="T120" s="486">
        <f>('Premissas Técnicas'!$D$85+'Premissas Técnicas'!U92)*T157*$D$15</f>
        <v>98.122752000000006</v>
      </c>
      <c r="U120" s="486">
        <f>('Premissas Técnicas'!$D$85+'Premissas Técnicas'!V92)*U157*$D$15</f>
        <v>98.122752000000006</v>
      </c>
      <c r="V120" s="486">
        <f>('Premissas Técnicas'!$D$85+'Premissas Técnicas'!W92)*V157*$D$15</f>
        <v>98.122752000000006</v>
      </c>
      <c r="W120" s="486">
        <f>('Premissas Técnicas'!$D$85+'Premissas Técnicas'!X92)*W157*$D$15</f>
        <v>98.122752000000006</v>
      </c>
      <c r="X120" s="486">
        <f>('Premissas Técnicas'!$D$85+'Premissas Técnicas'!Y92)*X157*$D$15</f>
        <v>98.122752000000006</v>
      </c>
      <c r="Y120" s="486">
        <f>('Premissas Técnicas'!$D$85+'Premissas Técnicas'!Z92)*Y157*$D$15</f>
        <v>98.122752000000006</v>
      </c>
      <c r="Z120" s="486">
        <f>('Premissas Técnicas'!$D$85+'Premissas Técnicas'!AA92)*Z157*$D$15</f>
        <v>98.122752000000006</v>
      </c>
      <c r="AA120" s="486">
        <f>('Premissas Técnicas'!$D$85+'Premissas Técnicas'!AB92)*AA157*$D$15</f>
        <v>98.122752000000006</v>
      </c>
      <c r="AB120" s="486">
        <f>('Premissas Técnicas'!$D$85+'Premissas Técnicas'!AC92)*AB157*$D$15</f>
        <v>98.122752000000006</v>
      </c>
      <c r="AC120" s="486">
        <f>('Premissas Técnicas'!$D$85+'Premissas Técnicas'!AD92)*AC157*$D$15</f>
        <v>98.122752000000006</v>
      </c>
      <c r="AD120" s="486">
        <f>('Premissas Técnicas'!$D$85+'Premissas Técnicas'!AE92)*AD157*$D$15</f>
        <v>98.122752000000006</v>
      </c>
      <c r="AE120" s="486">
        <f>('Premissas Técnicas'!$D$85+'Premissas Técnicas'!AF92)*AE157*$D$15</f>
        <v>98.122752000000006</v>
      </c>
      <c r="AF120" s="486">
        <f>('Premissas Técnicas'!$D$85+'Premissas Técnicas'!AG92)*AF157*$D$15</f>
        <v>98.122752000000006</v>
      </c>
      <c r="AG120" s="486">
        <f>('Premissas Técnicas'!$D$85+'Premissas Técnicas'!AH92)*AG157*$D$15</f>
        <v>98.122752000000006</v>
      </c>
      <c r="AH120" s="486">
        <f>('Premissas Técnicas'!$D$85+'Premissas Técnicas'!AI92)*AH157*$D$15</f>
        <v>98.122752000000006</v>
      </c>
      <c r="AI120" s="486">
        <f>('Premissas Técnicas'!$D$85+'Premissas Técnicas'!AJ92)*AI157*$D$15</f>
        <v>98.122752000000006</v>
      </c>
      <c r="AJ120" s="231"/>
    </row>
    <row r="121" spans="2:36" s="357" customFormat="1" ht="12" customHeight="1">
      <c r="B121" s="477"/>
      <c r="D121" s="448"/>
      <c r="E121" s="488"/>
      <c r="F121" s="488"/>
      <c r="G121" s="488"/>
      <c r="H121" s="488"/>
      <c r="I121" s="488"/>
      <c r="J121" s="488"/>
      <c r="K121" s="488"/>
      <c r="L121" s="488"/>
      <c r="M121" s="488"/>
      <c r="N121" s="488"/>
      <c r="O121" s="488"/>
      <c r="P121" s="488"/>
      <c r="Q121" s="488"/>
      <c r="R121" s="488"/>
      <c r="S121" s="488"/>
      <c r="T121" s="488"/>
      <c r="U121" s="488"/>
      <c r="V121" s="488"/>
      <c r="W121" s="488"/>
      <c r="X121" s="488"/>
      <c r="Y121" s="488"/>
      <c r="Z121" s="488"/>
      <c r="AA121" s="488"/>
      <c r="AB121" s="488"/>
      <c r="AC121" s="488"/>
      <c r="AD121" s="488"/>
      <c r="AE121" s="488"/>
      <c r="AF121" s="488"/>
      <c r="AG121" s="488"/>
      <c r="AH121" s="488"/>
      <c r="AI121" s="488"/>
      <c r="AJ121" s="231"/>
    </row>
    <row r="122" spans="2:36" s="357" customFormat="1" ht="12">
      <c r="B122" s="489" t="s">
        <v>464</v>
      </c>
      <c r="C122" s="447"/>
      <c r="D122" s="479"/>
      <c r="E122" s="483">
        <f>E108+E115+E101+E98</f>
        <v>0</v>
      </c>
      <c r="F122" s="483">
        <f t="shared" ref="F122:AI122" si="53">F108+F115+F101+F98</f>
        <v>0</v>
      </c>
      <c r="G122" s="483">
        <f t="shared" si="53"/>
        <v>0</v>
      </c>
      <c r="H122" s="483">
        <f t="shared" si="53"/>
        <v>4530.8723006951568</v>
      </c>
      <c r="I122" s="483">
        <f t="shared" si="53"/>
        <v>6381.3990846951583</v>
      </c>
      <c r="J122" s="483">
        <f t="shared" si="53"/>
        <v>6381.3990846951583</v>
      </c>
      <c r="K122" s="483">
        <f t="shared" si="53"/>
        <v>10718.439751544161</v>
      </c>
      <c r="L122" s="483">
        <f t="shared" si="53"/>
        <v>16214.811794393165</v>
      </c>
      <c r="M122" s="483">
        <f t="shared" si="53"/>
        <v>19651.985037242164</v>
      </c>
      <c r="N122" s="483">
        <f t="shared" si="53"/>
        <v>20475.664557242166</v>
      </c>
      <c r="O122" s="483">
        <f t="shared" si="53"/>
        <v>20475.664557242166</v>
      </c>
      <c r="P122" s="483">
        <f t="shared" si="53"/>
        <v>20475.664557242166</v>
      </c>
      <c r="Q122" s="483">
        <f t="shared" si="53"/>
        <v>20475.664557242166</v>
      </c>
      <c r="R122" s="483">
        <f t="shared" si="53"/>
        <v>20475.664557242166</v>
      </c>
      <c r="S122" s="483">
        <f t="shared" si="53"/>
        <v>20475.664557242166</v>
      </c>
      <c r="T122" s="483">
        <f t="shared" si="53"/>
        <v>20475.664557242166</v>
      </c>
      <c r="U122" s="483">
        <f t="shared" si="53"/>
        <v>20475.664557242166</v>
      </c>
      <c r="V122" s="483">
        <f t="shared" si="53"/>
        <v>20475.664557242166</v>
      </c>
      <c r="W122" s="483">
        <f t="shared" si="53"/>
        <v>20475.664557242166</v>
      </c>
      <c r="X122" s="483">
        <f t="shared" si="53"/>
        <v>20475.664557242166</v>
      </c>
      <c r="Y122" s="483">
        <f t="shared" si="53"/>
        <v>20475.664557242166</v>
      </c>
      <c r="Z122" s="483">
        <f t="shared" si="53"/>
        <v>20475.664557242166</v>
      </c>
      <c r="AA122" s="483">
        <f t="shared" si="53"/>
        <v>20475.664557242166</v>
      </c>
      <c r="AB122" s="483">
        <f t="shared" si="53"/>
        <v>20475.664557242166</v>
      </c>
      <c r="AC122" s="483">
        <f t="shared" si="53"/>
        <v>20475.664557242166</v>
      </c>
      <c r="AD122" s="483">
        <f t="shared" si="53"/>
        <v>20475.664557242166</v>
      </c>
      <c r="AE122" s="483">
        <f t="shared" si="53"/>
        <v>20475.664557242166</v>
      </c>
      <c r="AF122" s="483">
        <f t="shared" si="53"/>
        <v>20475.664557242166</v>
      </c>
      <c r="AG122" s="483">
        <f t="shared" si="53"/>
        <v>20475.664557242166</v>
      </c>
      <c r="AH122" s="483">
        <f t="shared" si="53"/>
        <v>20475.664557242166</v>
      </c>
      <c r="AI122" s="483">
        <f t="shared" si="53"/>
        <v>20475.664557242166</v>
      </c>
      <c r="AJ122" s="488"/>
    </row>
    <row r="123" spans="2:36" s="357" customFormat="1" ht="12">
      <c r="B123" s="477"/>
      <c r="D123" s="448"/>
      <c r="E123" s="488"/>
      <c r="F123" s="488"/>
      <c r="G123" s="488"/>
      <c r="H123" s="488"/>
      <c r="I123" s="488"/>
      <c r="J123" s="488"/>
      <c r="K123" s="488"/>
      <c r="L123" s="488"/>
      <c r="M123" s="488"/>
      <c r="N123" s="488"/>
      <c r="O123" s="488"/>
      <c r="P123" s="488"/>
      <c r="Q123" s="488"/>
      <c r="R123" s="488"/>
      <c r="S123" s="488"/>
      <c r="T123" s="488"/>
      <c r="U123" s="488"/>
      <c r="V123" s="488"/>
      <c r="W123" s="488"/>
      <c r="X123" s="488"/>
      <c r="Y123" s="488"/>
      <c r="Z123" s="488"/>
      <c r="AA123" s="488"/>
      <c r="AB123" s="488"/>
      <c r="AC123" s="488"/>
      <c r="AD123" s="488"/>
      <c r="AE123" s="488"/>
      <c r="AF123" s="488"/>
      <c r="AG123" s="488"/>
      <c r="AH123" s="488"/>
      <c r="AI123" s="488"/>
      <c r="AJ123" s="231"/>
    </row>
    <row r="124" spans="2:36" s="357" customFormat="1" ht="12">
      <c r="B124" s="447" t="s">
        <v>47</v>
      </c>
      <c r="C124" s="447"/>
      <c r="D124" s="490">
        <f>SUM(D125:D129)</f>
        <v>240403.24014417647</v>
      </c>
      <c r="E124" s="485">
        <f t="shared" ref="E124:AI124" si="54">SUM(E125:E129)</f>
        <v>0</v>
      </c>
      <c r="F124" s="485">
        <f>SUM(F125:F129)</f>
        <v>27551.613564179606</v>
      </c>
      <c r="G124" s="485">
        <f t="shared" si="54"/>
        <v>27551.613564179606</v>
      </c>
      <c r="H124" s="485">
        <f t="shared" si="54"/>
        <v>2148.0227657307692</v>
      </c>
      <c r="I124" s="485">
        <f t="shared" si="54"/>
        <v>53275.815921837566</v>
      </c>
      <c r="J124" s="485">
        <f t="shared" si="54"/>
        <v>69305.202412228056</v>
      </c>
      <c r="K124" s="485">
        <f t="shared" si="54"/>
        <v>36510.160231763359</v>
      </c>
      <c r="L124" s="485">
        <f t="shared" si="54"/>
        <v>20003.435348988256</v>
      </c>
      <c r="M124" s="485">
        <f t="shared" si="54"/>
        <v>2864.0303543076925</v>
      </c>
      <c r="N124" s="485">
        <f t="shared" si="54"/>
        <v>1193.3459809615383</v>
      </c>
      <c r="O124" s="485">
        <f t="shared" si="54"/>
        <v>0</v>
      </c>
      <c r="P124" s="485">
        <f t="shared" si="54"/>
        <v>0</v>
      </c>
      <c r="Q124" s="485">
        <f t="shared" si="54"/>
        <v>0</v>
      </c>
      <c r="R124" s="485">
        <f t="shared" si="54"/>
        <v>0</v>
      </c>
      <c r="S124" s="485">
        <f t="shared" si="54"/>
        <v>0</v>
      </c>
      <c r="T124" s="485">
        <f t="shared" si="54"/>
        <v>0</v>
      </c>
      <c r="U124" s="485">
        <f t="shared" si="54"/>
        <v>0</v>
      </c>
      <c r="V124" s="485">
        <f t="shared" si="54"/>
        <v>0</v>
      </c>
      <c r="W124" s="485">
        <f t="shared" si="54"/>
        <v>0</v>
      </c>
      <c r="X124" s="485">
        <f t="shared" si="54"/>
        <v>0</v>
      </c>
      <c r="Y124" s="485">
        <f t="shared" si="54"/>
        <v>0</v>
      </c>
      <c r="Z124" s="485">
        <f t="shared" si="54"/>
        <v>0</v>
      </c>
      <c r="AA124" s="485">
        <f t="shared" si="54"/>
        <v>0</v>
      </c>
      <c r="AB124" s="485">
        <f t="shared" si="54"/>
        <v>0</v>
      </c>
      <c r="AC124" s="485">
        <f t="shared" si="54"/>
        <v>0</v>
      </c>
      <c r="AD124" s="485">
        <f t="shared" si="54"/>
        <v>0</v>
      </c>
      <c r="AE124" s="485">
        <f t="shared" si="54"/>
        <v>0</v>
      </c>
      <c r="AF124" s="485">
        <f t="shared" si="54"/>
        <v>0</v>
      </c>
      <c r="AG124" s="485">
        <f t="shared" si="54"/>
        <v>0</v>
      </c>
      <c r="AH124" s="485">
        <f t="shared" si="54"/>
        <v>0</v>
      </c>
      <c r="AI124" s="485">
        <f t="shared" si="54"/>
        <v>0</v>
      </c>
      <c r="AJ124" s="485"/>
    </row>
    <row r="125" spans="2:36" s="357" customFormat="1" ht="12">
      <c r="B125" s="477" t="str" cm="1">
        <f t="array" ref="B125">_xlfn.ANCHORARRAY(B89)</f>
        <v>ETE Atuba Sul</v>
      </c>
      <c r="D125" s="491">
        <f>SUM(E125:AI125)</f>
        <v>59399.272659820752</v>
      </c>
      <c r="E125" s="492">
        <f>(_xlfn.XLOOKUP($B125,Dashboard!$D$27:$H$27,Dashboard!$D$28:$H$28)*('Premissas Técnicas'!$D$22)+_xlfn.XLOOKUP($B125,'Premissas Técnicas'!$B$27:$B$31,'Premissas Técnicas'!$D$27:$D$31))/$D$144*E144+'Premissas Técnicas'!F37</f>
        <v>0</v>
      </c>
      <c r="F125" s="492">
        <f>(_xlfn.XLOOKUP($B125,Dashboard!$D$27:$H$27,Dashboard!$D$28:$H$28)*('Premissas Técnicas'!$D$22)+_xlfn.XLOOKUP($B125,'Premissas Técnicas'!$B$27:$B$31,'Premissas Técnicas'!$D$27:$D$31))/$D$144*F144+'Premissas Técnicas'!G37</f>
        <v>27551.613564179606</v>
      </c>
      <c r="G125" s="492">
        <f>(_xlfn.XLOOKUP($B125,Dashboard!$D$27:$H$27,Dashboard!$D$28:$H$28)*('Premissas Técnicas'!$D$22)+_xlfn.XLOOKUP($B125,'Premissas Técnicas'!$B$27:$B$31,'Premissas Técnicas'!$D$27:$D$31))/$D$144*G144+'Premissas Técnicas'!H37</f>
        <v>27551.613564179606</v>
      </c>
      <c r="H125" s="492">
        <f>(_xlfn.XLOOKUP($B125,Dashboard!$D$27:$H$27,Dashboard!$D$28:$H$28)*('Premissas Técnicas'!$D$22)+_xlfn.XLOOKUP($B125,'Premissas Técnicas'!$B$27:$B$31,'Premissas Técnicas'!$D$27:$D$31))/$D$144*H144+'Premissas Técnicas'!I37</f>
        <v>2148.0227657307692</v>
      </c>
      <c r="I125" s="492">
        <f>(_xlfn.XLOOKUP($B125,Dashboard!$D$27:$H$27,Dashboard!$D$28:$H$28)*('Premissas Técnicas'!$D$22)+_xlfn.XLOOKUP($B125,'Premissas Técnicas'!$B$27:$B$31,'Premissas Técnicas'!$D$27:$D$31))/$D$144*I144+'Premissas Técnicas'!J37</f>
        <v>2148.0227657307692</v>
      </c>
      <c r="J125" s="492">
        <f>(_xlfn.XLOOKUP($B125,Dashboard!$D$27:$H$27,Dashboard!$D$28:$H$28)*('Premissas Técnicas'!$D$22)+_xlfn.XLOOKUP($B125,'Premissas Técnicas'!$B$27:$B$31,'Premissas Técnicas'!$D$27:$D$31))/$D$144*J144+'Premissas Técnicas'!K37</f>
        <v>0</v>
      </c>
      <c r="K125" s="492">
        <f>(_xlfn.XLOOKUP($B125,Dashboard!$D$27:$H$27,Dashboard!$D$28:$H$28)*('Premissas Técnicas'!$D$22)+_xlfn.XLOOKUP($B125,'Premissas Técnicas'!$B$27:$B$31,'Premissas Técnicas'!$D$27:$D$31))/$D$144*K144+'Premissas Técnicas'!L37</f>
        <v>0</v>
      </c>
      <c r="L125" s="492">
        <f>(_xlfn.XLOOKUP($B125,Dashboard!$D$27:$H$27,Dashboard!$D$28:$H$28)*('Premissas Técnicas'!$D$22)+_xlfn.XLOOKUP($B125,'Premissas Técnicas'!$B$27:$B$31,'Premissas Técnicas'!$D$27:$D$31))/$D$144*L144+'Premissas Técnicas'!M37</f>
        <v>0</v>
      </c>
      <c r="M125" s="492">
        <f>(_xlfn.XLOOKUP($B125,Dashboard!$D$27:$H$27,Dashboard!$D$28:$H$28)*('Premissas Técnicas'!$D$22)+_xlfn.XLOOKUP($B125,'Premissas Técnicas'!$B$27:$B$31,'Premissas Técnicas'!$D$27:$D$31))/$D$144*M144+'Premissas Técnicas'!N37</f>
        <v>0</v>
      </c>
      <c r="N125" s="492">
        <f>(_xlfn.XLOOKUP($B125,Dashboard!$D$27:$H$27,Dashboard!$D$28:$H$28)*('Premissas Técnicas'!$D$22)+_xlfn.XLOOKUP($B125,'Premissas Técnicas'!$B$27:$B$31,'Premissas Técnicas'!$D$27:$D$31))/$D$144*N144+'Premissas Técnicas'!O37</f>
        <v>0</v>
      </c>
      <c r="O125" s="492">
        <f>(_xlfn.XLOOKUP($B125,Dashboard!$D$27:$H$27,Dashboard!$D$28:$H$28)*('Premissas Técnicas'!$D$22)+_xlfn.XLOOKUP($B125,'Premissas Técnicas'!$B$27:$B$31,'Premissas Técnicas'!$D$27:$D$31))/$D$144*O144+'Premissas Técnicas'!P37</f>
        <v>0</v>
      </c>
      <c r="P125" s="492">
        <f>(_xlfn.XLOOKUP($B125,Dashboard!$D$27:$H$27,Dashboard!$D$28:$H$28)*('Premissas Técnicas'!$D$22)+_xlfn.XLOOKUP($B125,'Premissas Técnicas'!$B$27:$B$31,'Premissas Técnicas'!$D$27:$D$31))/$D$144*P144+'Premissas Técnicas'!Q37</f>
        <v>0</v>
      </c>
      <c r="Q125" s="492">
        <f>(_xlfn.XLOOKUP($B125,Dashboard!$D$27:$H$27,Dashboard!$D$28:$H$28)*('Premissas Técnicas'!$D$22)+_xlfn.XLOOKUP($B125,'Premissas Técnicas'!$B$27:$B$31,'Premissas Técnicas'!$D$27:$D$31))/$D$144*Q144+'Premissas Técnicas'!R37</f>
        <v>0</v>
      </c>
      <c r="R125" s="492">
        <f>(_xlfn.XLOOKUP($B125,Dashboard!$D$27:$H$27,Dashboard!$D$28:$H$28)*('Premissas Técnicas'!$D$22)+_xlfn.XLOOKUP($B125,'Premissas Técnicas'!$B$27:$B$31,'Premissas Técnicas'!$D$27:$D$31))/$D$144*R144+'Premissas Técnicas'!S37</f>
        <v>0</v>
      </c>
      <c r="S125" s="492">
        <f>(_xlfn.XLOOKUP($B125,Dashboard!$D$27:$H$27,Dashboard!$D$28:$H$28)*('Premissas Técnicas'!$D$22)+_xlfn.XLOOKUP($B125,'Premissas Técnicas'!$B$27:$B$31,'Premissas Técnicas'!$D$27:$D$31))/$D$144*S144+'Premissas Técnicas'!T37</f>
        <v>0</v>
      </c>
      <c r="T125" s="492">
        <f>(_xlfn.XLOOKUP($B125,Dashboard!$D$27:$H$27,Dashboard!$D$28:$H$28)*('Premissas Técnicas'!$D$22)+_xlfn.XLOOKUP($B125,'Premissas Técnicas'!$B$27:$B$31,'Premissas Técnicas'!$D$27:$D$31))/$D$144*T144+'Premissas Técnicas'!U37</f>
        <v>0</v>
      </c>
      <c r="U125" s="492">
        <f>(_xlfn.XLOOKUP($B125,Dashboard!$D$27:$H$27,Dashboard!$D$28:$H$28)*('Premissas Técnicas'!$D$22)+_xlfn.XLOOKUP($B125,'Premissas Técnicas'!$B$27:$B$31,'Premissas Técnicas'!$D$27:$D$31))/$D$144*U144+'Premissas Técnicas'!V37</f>
        <v>0</v>
      </c>
      <c r="V125" s="492">
        <f>(_xlfn.XLOOKUP($B125,Dashboard!$D$27:$H$27,Dashboard!$D$28:$H$28)*('Premissas Técnicas'!$D$22)+_xlfn.XLOOKUP($B125,'Premissas Técnicas'!$B$27:$B$31,'Premissas Técnicas'!$D$27:$D$31))/$D$144*V144+'Premissas Técnicas'!W37</f>
        <v>0</v>
      </c>
      <c r="W125" s="492">
        <f>(_xlfn.XLOOKUP($B125,Dashboard!$D$27:$H$27,Dashboard!$D$28:$H$28)*('Premissas Técnicas'!$D$22)+_xlfn.XLOOKUP($B125,'Premissas Técnicas'!$B$27:$B$31,'Premissas Técnicas'!$D$27:$D$31))/$D$144*W144+'Premissas Técnicas'!X37</f>
        <v>0</v>
      </c>
      <c r="X125" s="492">
        <f>(_xlfn.XLOOKUP($B125,Dashboard!$D$27:$H$27,Dashboard!$D$28:$H$28)*('Premissas Técnicas'!$D$22)+_xlfn.XLOOKUP($B125,'Premissas Técnicas'!$B$27:$B$31,'Premissas Técnicas'!$D$27:$D$31))/$D$144*X144+'Premissas Técnicas'!Y37</f>
        <v>0</v>
      </c>
      <c r="Y125" s="492">
        <f>(_xlfn.XLOOKUP($B125,Dashboard!$D$27:$H$27,Dashboard!$D$28:$H$28)*('Premissas Técnicas'!$D$22)+_xlfn.XLOOKUP($B125,'Premissas Técnicas'!$B$27:$B$31,'Premissas Técnicas'!$D$27:$D$31))/$D$144*Y144+'Premissas Técnicas'!Z37</f>
        <v>0</v>
      </c>
      <c r="Z125" s="492">
        <f>(_xlfn.XLOOKUP($B125,Dashboard!$D$27:$H$27,Dashboard!$D$28:$H$28)*('Premissas Técnicas'!$D$22)+_xlfn.XLOOKUP($B125,'Premissas Técnicas'!$B$27:$B$31,'Premissas Técnicas'!$D$27:$D$31))/$D$144*Z144+'Premissas Técnicas'!AA37</f>
        <v>0</v>
      </c>
      <c r="AA125" s="492">
        <f>(_xlfn.XLOOKUP($B125,Dashboard!$D$27:$H$27,Dashboard!$D$28:$H$28)*('Premissas Técnicas'!$D$22)+_xlfn.XLOOKUP($B125,'Premissas Técnicas'!$B$27:$B$31,'Premissas Técnicas'!$D$27:$D$31))/$D$144*AA144+'Premissas Técnicas'!AB37</f>
        <v>0</v>
      </c>
      <c r="AB125" s="492">
        <f>(_xlfn.XLOOKUP($B125,Dashboard!$D$27:$H$27,Dashboard!$D$28:$H$28)*('Premissas Técnicas'!$D$22)+_xlfn.XLOOKUP($B125,'Premissas Técnicas'!$B$27:$B$31,'Premissas Técnicas'!$D$27:$D$31))/$D$144*AB144+'Premissas Técnicas'!AC37</f>
        <v>0</v>
      </c>
      <c r="AC125" s="492">
        <f>(_xlfn.XLOOKUP($B125,Dashboard!$D$27:$H$27,Dashboard!$D$28:$H$28)*('Premissas Técnicas'!$D$22)+_xlfn.XLOOKUP($B125,'Premissas Técnicas'!$B$27:$B$31,'Premissas Técnicas'!$D$27:$D$31))/$D$144*AC144+'Premissas Técnicas'!AD37</f>
        <v>0</v>
      </c>
      <c r="AD125" s="492">
        <f>(_xlfn.XLOOKUP($B125,Dashboard!$D$27:$H$27,Dashboard!$D$28:$H$28)*('Premissas Técnicas'!$D$22)+_xlfn.XLOOKUP($B125,'Premissas Técnicas'!$B$27:$B$31,'Premissas Técnicas'!$D$27:$D$31))/$D$144*AD144+'Premissas Técnicas'!AE37</f>
        <v>0</v>
      </c>
      <c r="AE125" s="492">
        <f>(_xlfn.XLOOKUP($B125,Dashboard!$D$27:$H$27,Dashboard!$D$28:$H$28)*('Premissas Técnicas'!$D$22)+_xlfn.XLOOKUP($B125,'Premissas Técnicas'!$B$27:$B$31,'Premissas Técnicas'!$D$27:$D$31))/$D$144*AE144+'Premissas Técnicas'!AF37</f>
        <v>0</v>
      </c>
      <c r="AF125" s="492">
        <f>(_xlfn.XLOOKUP($B125,Dashboard!$D$27:$H$27,Dashboard!$D$28:$H$28)*('Premissas Técnicas'!$D$22)+_xlfn.XLOOKUP($B125,'Premissas Técnicas'!$B$27:$B$31,'Premissas Técnicas'!$D$27:$D$31))/$D$144*AF144+'Premissas Técnicas'!AG37</f>
        <v>0</v>
      </c>
      <c r="AG125" s="492">
        <f>(_xlfn.XLOOKUP($B125,Dashboard!$D$27:$H$27,Dashboard!$D$28:$H$28)*('Premissas Técnicas'!$D$22)+_xlfn.XLOOKUP($B125,'Premissas Técnicas'!$B$27:$B$31,'Premissas Técnicas'!$D$27:$D$31))/$D$144*AG144+'Premissas Técnicas'!AH37</f>
        <v>0</v>
      </c>
      <c r="AH125" s="492">
        <f>(_xlfn.XLOOKUP($B125,Dashboard!$D$27:$H$27,Dashboard!$D$28:$H$28)*('Premissas Técnicas'!$D$22)+_xlfn.XLOOKUP($B125,'Premissas Técnicas'!$B$27:$B$31,'Premissas Técnicas'!$D$27:$D$31))/$D$144*AH144+'Premissas Técnicas'!AI37</f>
        <v>0</v>
      </c>
      <c r="AI125" s="492">
        <f>(_xlfn.XLOOKUP($B125,Dashboard!$D$27:$H$27,Dashboard!$D$28:$H$28)*('Premissas Técnicas'!$D$22)+_xlfn.XLOOKUP($B125,'Premissas Técnicas'!$B$27:$B$31,'Premissas Técnicas'!$D$27:$D$31))/$D$144*AI144+'Premissas Técnicas'!AJ37</f>
        <v>0</v>
      </c>
      <c r="AJ125" s="487"/>
    </row>
    <row r="126" spans="2:36" s="357" customFormat="1" ht="12">
      <c r="B126" s="477" t="str" cm="1">
        <f t="array" ref="B126">_xlfn.ANCHORARRAY(B90)</f>
        <v>ETE Cafezal</v>
      </c>
      <c r="D126" s="491">
        <f t="shared" ref="D126:D129" si="55">SUM(E126:AI126)</f>
        <v>0</v>
      </c>
      <c r="E126" s="492">
        <f>(_xlfn.XLOOKUP($B126,Dashboard!$D$27:$H$27,Dashboard!$D$28:$H$28)*('Premissas Técnicas'!$D$22)+_xlfn.XLOOKUP($B126,'Premissas Técnicas'!$B$27:$B$31,'Premissas Técnicas'!$D$27:$D$31))/$D$144*E145+'Premissas Técnicas'!F38</f>
        <v>0</v>
      </c>
      <c r="F126" s="492">
        <f>(_xlfn.XLOOKUP($B126,Dashboard!$D$27:$H$27,Dashboard!$D$28:$H$28)*('Premissas Técnicas'!$D$22)+_xlfn.XLOOKUP($B126,'Premissas Técnicas'!$B$27:$B$31,'Premissas Técnicas'!$D$27:$D$31))/$D$144*F145+'Premissas Técnicas'!G38</f>
        <v>0</v>
      </c>
      <c r="G126" s="492">
        <f>(_xlfn.XLOOKUP($B126,Dashboard!$D$27:$H$27,Dashboard!$D$28:$H$28)*('Premissas Técnicas'!$D$22)+_xlfn.XLOOKUP($B126,'Premissas Técnicas'!$B$27:$B$31,'Premissas Técnicas'!$D$27:$D$31))/$D$144*G145+'Premissas Técnicas'!H38</f>
        <v>0</v>
      </c>
      <c r="H126" s="492">
        <f>(_xlfn.XLOOKUP($B126,Dashboard!$D$27:$H$27,Dashboard!$D$28:$H$28)*('Premissas Técnicas'!$D$22)+_xlfn.XLOOKUP($B126,'Premissas Técnicas'!$B$27:$B$31,'Premissas Técnicas'!$D$27:$D$31))/$D$144*H145+'Premissas Técnicas'!I38</f>
        <v>0</v>
      </c>
      <c r="I126" s="492">
        <f>(_xlfn.XLOOKUP($B126,Dashboard!$D$27:$H$27,Dashboard!$D$28:$H$28)*('Premissas Técnicas'!$D$22)+_xlfn.XLOOKUP($B126,'Premissas Técnicas'!$B$27:$B$31,'Premissas Técnicas'!$D$27:$D$31))/$D$144*I145+'Premissas Técnicas'!J38</f>
        <v>0</v>
      </c>
      <c r="J126" s="492">
        <f>(_xlfn.XLOOKUP($B126,Dashboard!$D$27:$H$27,Dashboard!$D$28:$H$28)*('Premissas Técnicas'!$D$22)+_xlfn.XLOOKUP($B126,'Premissas Técnicas'!$B$27:$B$31,'Premissas Técnicas'!$D$27:$D$31))/$D$144*J145+'Premissas Técnicas'!K38</f>
        <v>0</v>
      </c>
      <c r="K126" s="492">
        <f>(_xlfn.XLOOKUP($B126,Dashboard!$D$27:$H$27,Dashboard!$D$28:$H$28)*('Premissas Técnicas'!$D$22)+_xlfn.XLOOKUP($B126,'Premissas Técnicas'!$B$27:$B$31,'Premissas Técnicas'!$D$27:$D$31))/$D$144*K145+'Premissas Técnicas'!L38</f>
        <v>0</v>
      </c>
      <c r="L126" s="492">
        <f>(_xlfn.XLOOKUP($B126,Dashboard!$D$27:$H$27,Dashboard!$D$28:$H$28)*('Premissas Técnicas'!$D$22)+_xlfn.XLOOKUP($B126,'Premissas Técnicas'!$B$27:$B$31,'Premissas Técnicas'!$D$27:$D$31))/$D$144*L145+'Premissas Técnicas'!M38</f>
        <v>0</v>
      </c>
      <c r="M126" s="492">
        <f>(_xlfn.XLOOKUP($B126,Dashboard!$D$27:$H$27,Dashboard!$D$28:$H$28)*('Premissas Técnicas'!$D$22)+_xlfn.XLOOKUP($B126,'Premissas Técnicas'!$B$27:$B$31,'Premissas Técnicas'!$D$27:$D$31))/$D$144*M145+'Premissas Técnicas'!N38</f>
        <v>0</v>
      </c>
      <c r="N126" s="492">
        <f>(_xlfn.XLOOKUP($B126,Dashboard!$D$27:$H$27,Dashboard!$D$28:$H$28)*('Premissas Técnicas'!$D$22)+_xlfn.XLOOKUP($B126,'Premissas Técnicas'!$B$27:$B$31,'Premissas Técnicas'!$D$27:$D$31))/$D$144*N145+'Premissas Técnicas'!O38</f>
        <v>0</v>
      </c>
      <c r="O126" s="492">
        <f>(_xlfn.XLOOKUP($B126,Dashboard!$D$27:$H$27,Dashboard!$D$28:$H$28)*('Premissas Técnicas'!$D$22)+_xlfn.XLOOKUP($B126,'Premissas Técnicas'!$B$27:$B$31,'Premissas Técnicas'!$D$27:$D$31))/$D$144*O145+'Premissas Técnicas'!P38</f>
        <v>0</v>
      </c>
      <c r="P126" s="492">
        <f>(_xlfn.XLOOKUP($B126,Dashboard!$D$27:$H$27,Dashboard!$D$28:$H$28)*('Premissas Técnicas'!$D$22)+_xlfn.XLOOKUP($B126,'Premissas Técnicas'!$B$27:$B$31,'Premissas Técnicas'!$D$27:$D$31))/$D$144*P145+'Premissas Técnicas'!Q38</f>
        <v>0</v>
      </c>
      <c r="Q126" s="492">
        <f>(_xlfn.XLOOKUP($B126,Dashboard!$D$27:$H$27,Dashboard!$D$28:$H$28)*('Premissas Técnicas'!$D$22)+_xlfn.XLOOKUP($B126,'Premissas Técnicas'!$B$27:$B$31,'Premissas Técnicas'!$D$27:$D$31))/$D$144*Q145+'Premissas Técnicas'!R38</f>
        <v>0</v>
      </c>
      <c r="R126" s="492">
        <f>(_xlfn.XLOOKUP($B126,Dashboard!$D$27:$H$27,Dashboard!$D$28:$H$28)*('Premissas Técnicas'!$D$22)+_xlfn.XLOOKUP($B126,'Premissas Técnicas'!$B$27:$B$31,'Premissas Técnicas'!$D$27:$D$31))/$D$144*R145+'Premissas Técnicas'!S38</f>
        <v>0</v>
      </c>
      <c r="S126" s="492">
        <f>(_xlfn.XLOOKUP($B126,Dashboard!$D$27:$H$27,Dashboard!$D$28:$H$28)*('Premissas Técnicas'!$D$22)+_xlfn.XLOOKUP($B126,'Premissas Técnicas'!$B$27:$B$31,'Premissas Técnicas'!$D$27:$D$31))/$D$144*S145+'Premissas Técnicas'!T38</f>
        <v>0</v>
      </c>
      <c r="T126" s="492">
        <f>(_xlfn.XLOOKUP($B126,Dashboard!$D$27:$H$27,Dashboard!$D$28:$H$28)*('Premissas Técnicas'!$D$22)+_xlfn.XLOOKUP($B126,'Premissas Técnicas'!$B$27:$B$31,'Premissas Técnicas'!$D$27:$D$31))/$D$144*T145+'Premissas Técnicas'!U38</f>
        <v>0</v>
      </c>
      <c r="U126" s="492">
        <f>(_xlfn.XLOOKUP($B126,Dashboard!$D$27:$H$27,Dashboard!$D$28:$H$28)*('Premissas Técnicas'!$D$22)+_xlfn.XLOOKUP($B126,'Premissas Técnicas'!$B$27:$B$31,'Premissas Técnicas'!$D$27:$D$31))/$D$144*U145+'Premissas Técnicas'!V38</f>
        <v>0</v>
      </c>
      <c r="V126" s="492">
        <f>(_xlfn.XLOOKUP($B126,Dashboard!$D$27:$H$27,Dashboard!$D$28:$H$28)*('Premissas Técnicas'!$D$22)+_xlfn.XLOOKUP($B126,'Premissas Técnicas'!$B$27:$B$31,'Premissas Técnicas'!$D$27:$D$31))/$D$144*V145+'Premissas Técnicas'!W38</f>
        <v>0</v>
      </c>
      <c r="W126" s="492">
        <f>(_xlfn.XLOOKUP($B126,Dashboard!$D$27:$H$27,Dashboard!$D$28:$H$28)*('Premissas Técnicas'!$D$22)+_xlfn.XLOOKUP($B126,'Premissas Técnicas'!$B$27:$B$31,'Premissas Técnicas'!$D$27:$D$31))/$D$144*W145+'Premissas Técnicas'!X38</f>
        <v>0</v>
      </c>
      <c r="X126" s="492">
        <f>(_xlfn.XLOOKUP($B126,Dashboard!$D$27:$H$27,Dashboard!$D$28:$H$28)*('Premissas Técnicas'!$D$22)+_xlfn.XLOOKUP($B126,'Premissas Técnicas'!$B$27:$B$31,'Premissas Técnicas'!$D$27:$D$31))/$D$144*X145+'Premissas Técnicas'!Y38</f>
        <v>0</v>
      </c>
      <c r="Y126" s="492">
        <f>(_xlfn.XLOOKUP($B126,Dashboard!$D$27:$H$27,Dashboard!$D$28:$H$28)*('Premissas Técnicas'!$D$22)+_xlfn.XLOOKUP($B126,'Premissas Técnicas'!$B$27:$B$31,'Premissas Técnicas'!$D$27:$D$31))/$D$144*Y145+'Premissas Técnicas'!Z38</f>
        <v>0</v>
      </c>
      <c r="Z126" s="492">
        <f>(_xlfn.XLOOKUP($B126,Dashboard!$D$27:$H$27,Dashboard!$D$28:$H$28)*('Premissas Técnicas'!$D$22)+_xlfn.XLOOKUP($B126,'Premissas Técnicas'!$B$27:$B$31,'Premissas Técnicas'!$D$27:$D$31))/$D$144*Z145+'Premissas Técnicas'!AA38</f>
        <v>0</v>
      </c>
      <c r="AA126" s="492">
        <f>(_xlfn.XLOOKUP($B126,Dashboard!$D$27:$H$27,Dashboard!$D$28:$H$28)*('Premissas Técnicas'!$D$22)+_xlfn.XLOOKUP($B126,'Premissas Técnicas'!$B$27:$B$31,'Premissas Técnicas'!$D$27:$D$31))/$D$144*AA145+'Premissas Técnicas'!AB38</f>
        <v>0</v>
      </c>
      <c r="AB126" s="492">
        <f>(_xlfn.XLOOKUP($B126,Dashboard!$D$27:$H$27,Dashboard!$D$28:$H$28)*('Premissas Técnicas'!$D$22)+_xlfn.XLOOKUP($B126,'Premissas Técnicas'!$B$27:$B$31,'Premissas Técnicas'!$D$27:$D$31))/$D$144*AB145+'Premissas Técnicas'!AC38</f>
        <v>0</v>
      </c>
      <c r="AC126" s="492">
        <f>(_xlfn.XLOOKUP($B126,Dashboard!$D$27:$H$27,Dashboard!$D$28:$H$28)*('Premissas Técnicas'!$D$22)+_xlfn.XLOOKUP($B126,'Premissas Técnicas'!$B$27:$B$31,'Premissas Técnicas'!$D$27:$D$31))/$D$144*AC145+'Premissas Técnicas'!AD38</f>
        <v>0</v>
      </c>
      <c r="AD126" s="492">
        <f>(_xlfn.XLOOKUP($B126,Dashboard!$D$27:$H$27,Dashboard!$D$28:$H$28)*('Premissas Técnicas'!$D$22)+_xlfn.XLOOKUP($B126,'Premissas Técnicas'!$B$27:$B$31,'Premissas Técnicas'!$D$27:$D$31))/$D$144*AD145+'Premissas Técnicas'!AE38</f>
        <v>0</v>
      </c>
      <c r="AE126" s="492">
        <f>(_xlfn.XLOOKUP($B126,Dashboard!$D$27:$H$27,Dashboard!$D$28:$H$28)*('Premissas Técnicas'!$D$22)+_xlfn.XLOOKUP($B126,'Premissas Técnicas'!$B$27:$B$31,'Premissas Técnicas'!$D$27:$D$31))/$D$144*AE145+'Premissas Técnicas'!AF38</f>
        <v>0</v>
      </c>
      <c r="AF126" s="492">
        <f>(_xlfn.XLOOKUP($B126,Dashboard!$D$27:$H$27,Dashboard!$D$28:$H$28)*('Premissas Técnicas'!$D$22)+_xlfn.XLOOKUP($B126,'Premissas Técnicas'!$B$27:$B$31,'Premissas Técnicas'!$D$27:$D$31))/$D$144*AF145+'Premissas Técnicas'!AG38</f>
        <v>0</v>
      </c>
      <c r="AG126" s="492">
        <f>(_xlfn.XLOOKUP($B126,Dashboard!$D$27:$H$27,Dashboard!$D$28:$H$28)*('Premissas Técnicas'!$D$22)+_xlfn.XLOOKUP($B126,'Premissas Técnicas'!$B$27:$B$31,'Premissas Técnicas'!$D$27:$D$31))/$D$144*AG145+'Premissas Técnicas'!AH38</f>
        <v>0</v>
      </c>
      <c r="AH126" s="492">
        <f>(_xlfn.XLOOKUP($B126,Dashboard!$D$27:$H$27,Dashboard!$D$28:$H$28)*('Premissas Técnicas'!$D$22)+_xlfn.XLOOKUP($B126,'Premissas Técnicas'!$B$27:$B$31,'Premissas Técnicas'!$D$27:$D$31))/$D$144*AH145+'Premissas Técnicas'!AI38</f>
        <v>0</v>
      </c>
      <c r="AI126" s="492">
        <f>(_xlfn.XLOOKUP($B126,Dashboard!$D$27:$H$27,Dashboard!$D$28:$H$28)*('Premissas Técnicas'!$D$22)+_xlfn.XLOOKUP($B126,'Premissas Técnicas'!$B$27:$B$31,'Premissas Técnicas'!$D$27:$D$31))/$D$144*AI145+'Premissas Técnicas'!AJ38</f>
        <v>0</v>
      </c>
      <c r="AJ126" s="487"/>
    </row>
    <row r="127" spans="2:36" s="357" customFormat="1" ht="12">
      <c r="B127" s="477" t="str" cm="1">
        <f t="array" ref="B127">_xlfn.ANCHORARRAY(B91)</f>
        <v>ETE CIC-Xisto</v>
      </c>
      <c r="D127" s="491">
        <f t="shared" si="55"/>
        <v>109415.66219798283</v>
      </c>
      <c r="E127" s="492">
        <f>(_xlfn.XLOOKUP($B127,Dashboard!$D$27:$H$27,Dashboard!$D$28:$H$28)*('Premissas Técnicas'!$D$22)+_xlfn.XLOOKUP($B127,'Premissas Técnicas'!$B$27:$B$31,'Premissas Técnicas'!$D$27:$D$31))/$D$144*E146+'Premissas Técnicas'!F39</f>
        <v>0</v>
      </c>
      <c r="F127" s="492">
        <f>(_xlfn.XLOOKUP($B127,Dashboard!$D$27:$H$27,Dashboard!$D$28:$H$28)*('Premissas Técnicas'!$D$22)+_xlfn.XLOOKUP($B127,'Premissas Técnicas'!$B$27:$B$31,'Premissas Técnicas'!$D$27:$D$31))/$D$144*F146+'Premissas Técnicas'!G39</f>
        <v>0</v>
      </c>
      <c r="G127" s="492">
        <f>(_xlfn.XLOOKUP($B127,Dashboard!$D$27:$H$27,Dashboard!$D$28:$H$28)*('Premissas Técnicas'!$D$22)+_xlfn.XLOOKUP($B127,'Premissas Técnicas'!$B$27:$B$31,'Premissas Técnicas'!$D$27:$D$31))/$D$144*G146+'Premissas Técnicas'!H39</f>
        <v>0</v>
      </c>
      <c r="H127" s="492">
        <f>(_xlfn.XLOOKUP($B127,Dashboard!$D$27:$H$27,Dashboard!$D$28:$H$28)*('Premissas Técnicas'!$D$22)+_xlfn.XLOOKUP($B127,'Premissas Técnicas'!$B$27:$B$31,'Premissas Técnicas'!$D$27:$D$31))/$D$144*H146+'Premissas Técnicas'!I39</f>
        <v>0</v>
      </c>
      <c r="I127" s="492">
        <f>(_xlfn.XLOOKUP($B127,Dashboard!$D$27:$H$27,Dashboard!$D$28:$H$28)*('Premissas Técnicas'!$D$22)+_xlfn.XLOOKUP($B127,'Premissas Técnicas'!$B$27:$B$31,'Premissas Técnicas'!$D$27:$D$31))/$D$144*I146+'Premissas Técnicas'!J39</f>
        <v>51127.793156106796</v>
      </c>
      <c r="J127" s="492">
        <f>(_xlfn.XLOOKUP($B127,Dashboard!$D$27:$H$27,Dashboard!$D$28:$H$28)*('Premissas Técnicas'!$D$22)+_xlfn.XLOOKUP($B127,'Premissas Técnicas'!$B$27:$B$31,'Premissas Técnicas'!$D$27:$D$31))/$D$144*J146+'Premissas Técnicas'!K39</f>
        <v>51127.793156106796</v>
      </c>
      <c r="K127" s="492">
        <f>(_xlfn.XLOOKUP($B127,Dashboard!$D$27:$H$27,Dashboard!$D$28:$H$28)*('Premissas Técnicas'!$D$22)+_xlfn.XLOOKUP($B127,'Premissas Técnicas'!$B$27:$B$31,'Premissas Técnicas'!$D$27:$D$31))/$D$144*K146+'Premissas Técnicas'!L39</f>
        <v>3580.0379428846149</v>
      </c>
      <c r="L127" s="492">
        <f>(_xlfn.XLOOKUP($B127,Dashboard!$D$27:$H$27,Dashboard!$D$28:$H$28)*('Premissas Técnicas'!$D$22)+_xlfn.XLOOKUP($B127,'Premissas Técnicas'!$B$27:$B$31,'Premissas Técnicas'!$D$27:$D$31))/$D$144*L146+'Premissas Técnicas'!M39</f>
        <v>3580.0379428846149</v>
      </c>
      <c r="M127" s="492">
        <f>(_xlfn.XLOOKUP($B127,Dashboard!$D$27:$H$27,Dashboard!$D$28:$H$28)*('Premissas Técnicas'!$D$22)+_xlfn.XLOOKUP($B127,'Premissas Técnicas'!$B$27:$B$31,'Premissas Técnicas'!$D$27:$D$31))/$D$144*M146+'Premissas Técnicas'!N39</f>
        <v>0</v>
      </c>
      <c r="N127" s="492">
        <f>(_xlfn.XLOOKUP($B127,Dashboard!$D$27:$H$27,Dashboard!$D$28:$H$28)*('Premissas Técnicas'!$D$22)+_xlfn.XLOOKUP($B127,'Premissas Técnicas'!$B$27:$B$31,'Premissas Técnicas'!$D$27:$D$31))/$D$144*N146+'Premissas Técnicas'!O39</f>
        <v>0</v>
      </c>
      <c r="O127" s="492">
        <f>(_xlfn.XLOOKUP($B127,Dashboard!$D$27:$H$27,Dashboard!$D$28:$H$28)*('Premissas Técnicas'!$D$22)+_xlfn.XLOOKUP($B127,'Premissas Técnicas'!$B$27:$B$31,'Premissas Técnicas'!$D$27:$D$31))/$D$144*O146+'Premissas Técnicas'!P39</f>
        <v>0</v>
      </c>
      <c r="P127" s="492">
        <f>(_xlfn.XLOOKUP($B127,Dashboard!$D$27:$H$27,Dashboard!$D$28:$H$28)*('Premissas Técnicas'!$D$22)+_xlfn.XLOOKUP($B127,'Premissas Técnicas'!$B$27:$B$31,'Premissas Técnicas'!$D$27:$D$31))/$D$144*P146+'Premissas Técnicas'!Q39</f>
        <v>0</v>
      </c>
      <c r="Q127" s="492">
        <f>(_xlfn.XLOOKUP($B127,Dashboard!$D$27:$H$27,Dashboard!$D$28:$H$28)*('Premissas Técnicas'!$D$22)+_xlfn.XLOOKUP($B127,'Premissas Técnicas'!$B$27:$B$31,'Premissas Técnicas'!$D$27:$D$31))/$D$144*Q146+'Premissas Técnicas'!R39</f>
        <v>0</v>
      </c>
      <c r="R127" s="492">
        <f>(_xlfn.XLOOKUP($B127,Dashboard!$D$27:$H$27,Dashboard!$D$28:$H$28)*('Premissas Técnicas'!$D$22)+_xlfn.XLOOKUP($B127,'Premissas Técnicas'!$B$27:$B$31,'Premissas Técnicas'!$D$27:$D$31))/$D$144*R146+'Premissas Técnicas'!S39</f>
        <v>0</v>
      </c>
      <c r="S127" s="492">
        <f>(_xlfn.XLOOKUP($B127,Dashboard!$D$27:$H$27,Dashboard!$D$28:$H$28)*('Premissas Técnicas'!$D$22)+_xlfn.XLOOKUP($B127,'Premissas Técnicas'!$B$27:$B$31,'Premissas Técnicas'!$D$27:$D$31))/$D$144*S146+'Premissas Técnicas'!T39</f>
        <v>0</v>
      </c>
      <c r="T127" s="492">
        <f>(_xlfn.XLOOKUP($B127,Dashboard!$D$27:$H$27,Dashboard!$D$28:$H$28)*('Premissas Técnicas'!$D$22)+_xlfn.XLOOKUP($B127,'Premissas Técnicas'!$B$27:$B$31,'Premissas Técnicas'!$D$27:$D$31))/$D$144*T146+'Premissas Técnicas'!U39</f>
        <v>0</v>
      </c>
      <c r="U127" s="492">
        <f>(_xlfn.XLOOKUP($B127,Dashboard!$D$27:$H$27,Dashboard!$D$28:$H$28)*('Premissas Técnicas'!$D$22)+_xlfn.XLOOKUP($B127,'Premissas Técnicas'!$B$27:$B$31,'Premissas Técnicas'!$D$27:$D$31))/$D$144*U146+'Premissas Técnicas'!V39</f>
        <v>0</v>
      </c>
      <c r="V127" s="492">
        <f>(_xlfn.XLOOKUP($B127,Dashboard!$D$27:$H$27,Dashboard!$D$28:$H$28)*('Premissas Técnicas'!$D$22)+_xlfn.XLOOKUP($B127,'Premissas Técnicas'!$B$27:$B$31,'Premissas Técnicas'!$D$27:$D$31))/$D$144*V146+'Premissas Técnicas'!W39</f>
        <v>0</v>
      </c>
      <c r="W127" s="492">
        <f>(_xlfn.XLOOKUP($B127,Dashboard!$D$27:$H$27,Dashboard!$D$28:$H$28)*('Premissas Técnicas'!$D$22)+_xlfn.XLOOKUP($B127,'Premissas Técnicas'!$B$27:$B$31,'Premissas Técnicas'!$D$27:$D$31))/$D$144*W146+'Premissas Técnicas'!X39</f>
        <v>0</v>
      </c>
      <c r="X127" s="492">
        <f>(_xlfn.XLOOKUP($B127,Dashboard!$D$27:$H$27,Dashboard!$D$28:$H$28)*('Premissas Técnicas'!$D$22)+_xlfn.XLOOKUP($B127,'Premissas Técnicas'!$B$27:$B$31,'Premissas Técnicas'!$D$27:$D$31))/$D$144*X146+'Premissas Técnicas'!Y39</f>
        <v>0</v>
      </c>
      <c r="Y127" s="492">
        <f>(_xlfn.XLOOKUP($B127,Dashboard!$D$27:$H$27,Dashboard!$D$28:$H$28)*('Premissas Técnicas'!$D$22)+_xlfn.XLOOKUP($B127,'Premissas Técnicas'!$B$27:$B$31,'Premissas Técnicas'!$D$27:$D$31))/$D$144*Y146+'Premissas Técnicas'!Z39</f>
        <v>0</v>
      </c>
      <c r="Z127" s="492">
        <f>(_xlfn.XLOOKUP($B127,Dashboard!$D$27:$H$27,Dashboard!$D$28:$H$28)*('Premissas Técnicas'!$D$22)+_xlfn.XLOOKUP($B127,'Premissas Técnicas'!$B$27:$B$31,'Premissas Técnicas'!$D$27:$D$31))/$D$144*Z146+'Premissas Técnicas'!AA39</f>
        <v>0</v>
      </c>
      <c r="AA127" s="492">
        <f>(_xlfn.XLOOKUP($B127,Dashboard!$D$27:$H$27,Dashboard!$D$28:$H$28)*('Premissas Técnicas'!$D$22)+_xlfn.XLOOKUP($B127,'Premissas Técnicas'!$B$27:$B$31,'Premissas Técnicas'!$D$27:$D$31))/$D$144*AA146+'Premissas Técnicas'!AB39</f>
        <v>0</v>
      </c>
      <c r="AB127" s="492">
        <f>(_xlfn.XLOOKUP($B127,Dashboard!$D$27:$H$27,Dashboard!$D$28:$H$28)*('Premissas Técnicas'!$D$22)+_xlfn.XLOOKUP($B127,'Premissas Técnicas'!$B$27:$B$31,'Premissas Técnicas'!$D$27:$D$31))/$D$144*AB146+'Premissas Técnicas'!AC39</f>
        <v>0</v>
      </c>
      <c r="AC127" s="492">
        <f>(_xlfn.XLOOKUP($B127,Dashboard!$D$27:$H$27,Dashboard!$D$28:$H$28)*('Premissas Técnicas'!$D$22)+_xlfn.XLOOKUP($B127,'Premissas Técnicas'!$B$27:$B$31,'Premissas Técnicas'!$D$27:$D$31))/$D$144*AC146+'Premissas Técnicas'!AD39</f>
        <v>0</v>
      </c>
      <c r="AD127" s="492">
        <f>(_xlfn.XLOOKUP($B127,Dashboard!$D$27:$H$27,Dashboard!$D$28:$H$28)*('Premissas Técnicas'!$D$22)+_xlfn.XLOOKUP($B127,'Premissas Técnicas'!$B$27:$B$31,'Premissas Técnicas'!$D$27:$D$31))/$D$144*AD146+'Premissas Técnicas'!AE39</f>
        <v>0</v>
      </c>
      <c r="AE127" s="492">
        <f>(_xlfn.XLOOKUP($B127,Dashboard!$D$27:$H$27,Dashboard!$D$28:$H$28)*('Premissas Técnicas'!$D$22)+_xlfn.XLOOKUP($B127,'Premissas Técnicas'!$B$27:$B$31,'Premissas Técnicas'!$D$27:$D$31))/$D$144*AE146+'Premissas Técnicas'!AF39</f>
        <v>0</v>
      </c>
      <c r="AF127" s="492">
        <f>(_xlfn.XLOOKUP($B127,Dashboard!$D$27:$H$27,Dashboard!$D$28:$H$28)*('Premissas Técnicas'!$D$22)+_xlfn.XLOOKUP($B127,'Premissas Técnicas'!$B$27:$B$31,'Premissas Técnicas'!$D$27:$D$31))/$D$144*AF146+'Premissas Técnicas'!AG39</f>
        <v>0</v>
      </c>
      <c r="AG127" s="492">
        <f>(_xlfn.XLOOKUP($B127,Dashboard!$D$27:$H$27,Dashboard!$D$28:$H$28)*('Premissas Técnicas'!$D$22)+_xlfn.XLOOKUP($B127,'Premissas Técnicas'!$B$27:$B$31,'Premissas Técnicas'!$D$27:$D$31))/$D$144*AG146+'Premissas Técnicas'!AH39</f>
        <v>0</v>
      </c>
      <c r="AH127" s="492">
        <f>(_xlfn.XLOOKUP($B127,Dashboard!$D$27:$H$27,Dashboard!$D$28:$H$28)*('Premissas Técnicas'!$D$22)+_xlfn.XLOOKUP($B127,'Premissas Técnicas'!$B$27:$B$31,'Premissas Técnicas'!$D$27:$D$31))/$D$144*AH146+'Premissas Técnicas'!AI39</f>
        <v>0</v>
      </c>
      <c r="AI127" s="492">
        <f>(_xlfn.XLOOKUP($B127,Dashboard!$D$27:$H$27,Dashboard!$D$28:$H$28)*('Premissas Técnicas'!$D$22)+_xlfn.XLOOKUP($B127,'Premissas Técnicas'!$B$27:$B$31,'Premissas Técnicas'!$D$27:$D$31))/$D$144*AI146+'Premissas Técnicas'!AJ39</f>
        <v>0</v>
      </c>
      <c r="AJ127" s="487"/>
    </row>
    <row r="128" spans="2:36" s="357" customFormat="1" ht="12">
      <c r="B128" s="477" t="str" cm="1">
        <f t="array" ref="B128">_xlfn.ANCHORARRAY(B92)</f>
        <v>ETE Rio Toledo</v>
      </c>
      <c r="D128" s="491">
        <f t="shared" si="55"/>
        <v>39696.187258934835</v>
      </c>
      <c r="E128" s="492">
        <f>(_xlfn.XLOOKUP($B128,Dashboard!$D$27:$H$27,Dashboard!$D$28:$H$28)*('Premissas Técnicas'!$D$22)+_xlfn.XLOOKUP($B128,'Premissas Técnicas'!$B$27:$B$31,'Premissas Técnicas'!$D$27:$D$31))/$D$144*E147+'Premissas Técnicas'!F40</f>
        <v>0</v>
      </c>
      <c r="F128" s="492">
        <f>(_xlfn.XLOOKUP($B128,Dashboard!$D$27:$H$27,Dashboard!$D$28:$H$28)*('Premissas Técnicas'!$D$22)+_xlfn.XLOOKUP($B128,'Premissas Técnicas'!$B$27:$B$31,'Premissas Técnicas'!$D$27:$D$31))/$D$144*F147+'Premissas Técnicas'!G40</f>
        <v>0</v>
      </c>
      <c r="G128" s="492">
        <f>(_xlfn.XLOOKUP($B128,Dashboard!$D$27:$H$27,Dashboard!$D$28:$H$28)*('Premissas Técnicas'!$D$22)+_xlfn.XLOOKUP($B128,'Premissas Técnicas'!$B$27:$B$31,'Premissas Técnicas'!$D$27:$D$31))/$D$144*G147+'Premissas Técnicas'!H40</f>
        <v>0</v>
      </c>
      <c r="H128" s="492">
        <f>(_xlfn.XLOOKUP($B128,Dashboard!$D$27:$H$27,Dashboard!$D$28:$H$28)*('Premissas Técnicas'!$D$22)+_xlfn.XLOOKUP($B128,'Premissas Técnicas'!$B$27:$B$31,'Premissas Técnicas'!$D$27:$D$31))/$D$144*H147+'Premissas Técnicas'!I40</f>
        <v>0</v>
      </c>
      <c r="I128" s="492">
        <f>(_xlfn.XLOOKUP($B128,Dashboard!$D$27:$H$27,Dashboard!$D$28:$H$28)*('Premissas Técnicas'!$D$22)+_xlfn.XLOOKUP($B128,'Premissas Técnicas'!$B$27:$B$31,'Premissas Técnicas'!$D$27:$D$31))/$D$144*I147+'Premissas Técnicas'!J40</f>
        <v>0</v>
      </c>
      <c r="J128" s="492">
        <f>(_xlfn.XLOOKUP($B128,Dashboard!$D$27:$H$27,Dashboard!$D$28:$H$28)*('Premissas Técnicas'!$D$22)+_xlfn.XLOOKUP($B128,'Premissas Técnicas'!$B$27:$B$31,'Premissas Técnicas'!$D$27:$D$31))/$D$144*J147+'Premissas Técnicas'!K40</f>
        <v>18177.40925612126</v>
      </c>
      <c r="K128" s="492">
        <f>(_xlfn.XLOOKUP($B128,Dashboard!$D$27:$H$27,Dashboard!$D$28:$H$28)*('Premissas Técnicas'!$D$22)+_xlfn.XLOOKUP($B128,'Premissas Técnicas'!$B$27:$B$31,'Premissas Técnicas'!$D$27:$D$31))/$D$144*K147+'Premissas Técnicas'!L40</f>
        <v>18177.40925612126</v>
      </c>
      <c r="L128" s="492">
        <f>(_xlfn.XLOOKUP($B128,Dashboard!$D$27:$H$27,Dashboard!$D$28:$H$28)*('Premissas Técnicas'!$D$22)+_xlfn.XLOOKUP($B128,'Premissas Técnicas'!$B$27:$B$31,'Premissas Técnicas'!$D$27:$D$31))/$D$144*L147+'Premissas Técnicas'!M40</f>
        <v>1670.684373346154</v>
      </c>
      <c r="M128" s="492">
        <f>(_xlfn.XLOOKUP($B128,Dashboard!$D$27:$H$27,Dashboard!$D$28:$H$28)*('Premissas Técnicas'!$D$22)+_xlfn.XLOOKUP($B128,'Premissas Técnicas'!$B$27:$B$31,'Premissas Técnicas'!$D$27:$D$31))/$D$144*M147+'Premissas Técnicas'!N40</f>
        <v>1670.684373346154</v>
      </c>
      <c r="N128" s="492">
        <f>(_xlfn.XLOOKUP($B128,Dashboard!$D$27:$H$27,Dashboard!$D$28:$H$28)*('Premissas Técnicas'!$D$22)+_xlfn.XLOOKUP($B128,'Premissas Técnicas'!$B$27:$B$31,'Premissas Técnicas'!$D$27:$D$31))/$D$144*N147+'Premissas Técnicas'!O40</f>
        <v>0</v>
      </c>
      <c r="O128" s="492">
        <f>(_xlfn.XLOOKUP($B128,Dashboard!$D$27:$H$27,Dashboard!$D$28:$H$28)*('Premissas Técnicas'!$D$22)+_xlfn.XLOOKUP($B128,'Premissas Técnicas'!$B$27:$B$31,'Premissas Técnicas'!$D$27:$D$31))/$D$144*O147+'Premissas Técnicas'!P40</f>
        <v>0</v>
      </c>
      <c r="P128" s="492">
        <f>(_xlfn.XLOOKUP($B128,Dashboard!$D$27:$H$27,Dashboard!$D$28:$H$28)*('Premissas Técnicas'!$D$22)+_xlfn.XLOOKUP($B128,'Premissas Técnicas'!$B$27:$B$31,'Premissas Técnicas'!$D$27:$D$31))/$D$144*P147+'Premissas Técnicas'!Q40</f>
        <v>0</v>
      </c>
      <c r="Q128" s="492">
        <f>(_xlfn.XLOOKUP($B128,Dashboard!$D$27:$H$27,Dashboard!$D$28:$H$28)*('Premissas Técnicas'!$D$22)+_xlfn.XLOOKUP($B128,'Premissas Técnicas'!$B$27:$B$31,'Premissas Técnicas'!$D$27:$D$31))/$D$144*Q147+'Premissas Técnicas'!R40</f>
        <v>0</v>
      </c>
      <c r="R128" s="492">
        <f>(_xlfn.XLOOKUP($B128,Dashboard!$D$27:$H$27,Dashboard!$D$28:$H$28)*('Premissas Técnicas'!$D$22)+_xlfn.XLOOKUP($B128,'Premissas Técnicas'!$B$27:$B$31,'Premissas Técnicas'!$D$27:$D$31))/$D$144*R147+'Premissas Técnicas'!S40</f>
        <v>0</v>
      </c>
      <c r="S128" s="492">
        <f>(_xlfn.XLOOKUP($B128,Dashboard!$D$27:$H$27,Dashboard!$D$28:$H$28)*('Premissas Técnicas'!$D$22)+_xlfn.XLOOKUP($B128,'Premissas Técnicas'!$B$27:$B$31,'Premissas Técnicas'!$D$27:$D$31))/$D$144*S147+'Premissas Técnicas'!T40</f>
        <v>0</v>
      </c>
      <c r="T128" s="492">
        <f>(_xlfn.XLOOKUP($B128,Dashboard!$D$27:$H$27,Dashboard!$D$28:$H$28)*('Premissas Técnicas'!$D$22)+_xlfn.XLOOKUP($B128,'Premissas Técnicas'!$B$27:$B$31,'Premissas Técnicas'!$D$27:$D$31))/$D$144*T147+'Premissas Técnicas'!U40</f>
        <v>0</v>
      </c>
      <c r="U128" s="492">
        <f>(_xlfn.XLOOKUP($B128,Dashboard!$D$27:$H$27,Dashboard!$D$28:$H$28)*('Premissas Técnicas'!$D$22)+_xlfn.XLOOKUP($B128,'Premissas Técnicas'!$B$27:$B$31,'Premissas Técnicas'!$D$27:$D$31))/$D$144*U147+'Premissas Técnicas'!V40</f>
        <v>0</v>
      </c>
      <c r="V128" s="492">
        <f>(_xlfn.XLOOKUP($B128,Dashboard!$D$27:$H$27,Dashboard!$D$28:$H$28)*('Premissas Técnicas'!$D$22)+_xlfn.XLOOKUP($B128,'Premissas Técnicas'!$B$27:$B$31,'Premissas Técnicas'!$D$27:$D$31))/$D$144*V147+'Premissas Técnicas'!W40</f>
        <v>0</v>
      </c>
      <c r="W128" s="492">
        <f>(_xlfn.XLOOKUP($B128,Dashboard!$D$27:$H$27,Dashboard!$D$28:$H$28)*('Premissas Técnicas'!$D$22)+_xlfn.XLOOKUP($B128,'Premissas Técnicas'!$B$27:$B$31,'Premissas Técnicas'!$D$27:$D$31))/$D$144*W147+'Premissas Técnicas'!X40</f>
        <v>0</v>
      </c>
      <c r="X128" s="492">
        <f>(_xlfn.XLOOKUP($B128,Dashboard!$D$27:$H$27,Dashboard!$D$28:$H$28)*('Premissas Técnicas'!$D$22)+_xlfn.XLOOKUP($B128,'Premissas Técnicas'!$B$27:$B$31,'Premissas Técnicas'!$D$27:$D$31))/$D$144*X147+'Premissas Técnicas'!Y40</f>
        <v>0</v>
      </c>
      <c r="Y128" s="492">
        <f>(_xlfn.XLOOKUP($B128,Dashboard!$D$27:$H$27,Dashboard!$D$28:$H$28)*('Premissas Técnicas'!$D$22)+_xlfn.XLOOKUP($B128,'Premissas Técnicas'!$B$27:$B$31,'Premissas Técnicas'!$D$27:$D$31))/$D$144*Y147+'Premissas Técnicas'!Z40</f>
        <v>0</v>
      </c>
      <c r="Z128" s="492">
        <f>(_xlfn.XLOOKUP($B128,Dashboard!$D$27:$H$27,Dashboard!$D$28:$H$28)*('Premissas Técnicas'!$D$22)+_xlfn.XLOOKUP($B128,'Premissas Técnicas'!$B$27:$B$31,'Premissas Técnicas'!$D$27:$D$31))/$D$144*Z147+'Premissas Técnicas'!AA40</f>
        <v>0</v>
      </c>
      <c r="AA128" s="492">
        <f>(_xlfn.XLOOKUP($B128,Dashboard!$D$27:$H$27,Dashboard!$D$28:$H$28)*('Premissas Técnicas'!$D$22)+_xlfn.XLOOKUP($B128,'Premissas Técnicas'!$B$27:$B$31,'Premissas Técnicas'!$D$27:$D$31))/$D$144*AA147+'Premissas Técnicas'!AB40</f>
        <v>0</v>
      </c>
      <c r="AB128" s="492">
        <f>(_xlfn.XLOOKUP($B128,Dashboard!$D$27:$H$27,Dashboard!$D$28:$H$28)*('Premissas Técnicas'!$D$22)+_xlfn.XLOOKUP($B128,'Premissas Técnicas'!$B$27:$B$31,'Premissas Técnicas'!$D$27:$D$31))/$D$144*AB147+'Premissas Técnicas'!AC40</f>
        <v>0</v>
      </c>
      <c r="AC128" s="492">
        <f>(_xlfn.XLOOKUP($B128,Dashboard!$D$27:$H$27,Dashboard!$D$28:$H$28)*('Premissas Técnicas'!$D$22)+_xlfn.XLOOKUP($B128,'Premissas Técnicas'!$B$27:$B$31,'Premissas Técnicas'!$D$27:$D$31))/$D$144*AC147+'Premissas Técnicas'!AD40</f>
        <v>0</v>
      </c>
      <c r="AD128" s="492">
        <f>(_xlfn.XLOOKUP($B128,Dashboard!$D$27:$H$27,Dashboard!$D$28:$H$28)*('Premissas Técnicas'!$D$22)+_xlfn.XLOOKUP($B128,'Premissas Técnicas'!$B$27:$B$31,'Premissas Técnicas'!$D$27:$D$31))/$D$144*AD147+'Premissas Técnicas'!AE40</f>
        <v>0</v>
      </c>
      <c r="AE128" s="492">
        <f>(_xlfn.XLOOKUP($B128,Dashboard!$D$27:$H$27,Dashboard!$D$28:$H$28)*('Premissas Técnicas'!$D$22)+_xlfn.XLOOKUP($B128,'Premissas Técnicas'!$B$27:$B$31,'Premissas Técnicas'!$D$27:$D$31))/$D$144*AE147+'Premissas Técnicas'!AF40</f>
        <v>0</v>
      </c>
      <c r="AF128" s="492">
        <f>(_xlfn.XLOOKUP($B128,Dashboard!$D$27:$H$27,Dashboard!$D$28:$H$28)*('Premissas Técnicas'!$D$22)+_xlfn.XLOOKUP($B128,'Premissas Técnicas'!$B$27:$B$31,'Premissas Técnicas'!$D$27:$D$31))/$D$144*AF147+'Premissas Técnicas'!AG40</f>
        <v>0</v>
      </c>
      <c r="AG128" s="492">
        <f>(_xlfn.XLOOKUP($B128,Dashboard!$D$27:$H$27,Dashboard!$D$28:$H$28)*('Premissas Técnicas'!$D$22)+_xlfn.XLOOKUP($B128,'Premissas Técnicas'!$B$27:$B$31,'Premissas Técnicas'!$D$27:$D$31))/$D$144*AG147+'Premissas Técnicas'!AH40</f>
        <v>0</v>
      </c>
      <c r="AH128" s="492">
        <f>(_xlfn.XLOOKUP($B128,Dashboard!$D$27:$H$27,Dashboard!$D$28:$H$28)*('Premissas Técnicas'!$D$22)+_xlfn.XLOOKUP($B128,'Premissas Técnicas'!$B$27:$B$31,'Premissas Técnicas'!$D$27:$D$31))/$D$144*AH147+'Premissas Técnicas'!AI40</f>
        <v>0</v>
      </c>
      <c r="AI128" s="492">
        <f>(_xlfn.XLOOKUP($B128,Dashboard!$D$27:$H$27,Dashboard!$D$28:$H$28)*('Premissas Técnicas'!$D$22)+_xlfn.XLOOKUP($B128,'Premissas Técnicas'!$B$27:$B$31,'Premissas Técnicas'!$D$27:$D$31))/$D$144*AI147+'Premissas Técnicas'!AJ40</f>
        <v>0</v>
      </c>
      <c r="AJ128" s="487"/>
    </row>
    <row r="129" spans="2:36" s="357" customFormat="1" ht="12">
      <c r="B129" s="477" t="str" cm="1">
        <f t="array" ref="B129">_xlfn.ANCHORARRAY(B93)</f>
        <v>ETE Verde</v>
      </c>
      <c r="D129" s="491">
        <f t="shared" si="55"/>
        <v>31892.118027438046</v>
      </c>
      <c r="E129" s="492">
        <f>(_xlfn.XLOOKUP($B129,Dashboard!$D$27:$H$27,Dashboard!$D$28:$H$28)*('Premissas Técnicas'!$D$22)+_xlfn.XLOOKUP($B129,'Premissas Técnicas'!$B$27:$B$31,'Premissas Técnicas'!$D$27:$D$31))/$D$144*E148+'Premissas Técnicas'!F41</f>
        <v>0</v>
      </c>
      <c r="F129" s="492">
        <f>(_xlfn.XLOOKUP($B129,Dashboard!$D$27:$H$27,Dashboard!$D$28:$H$28)*('Premissas Técnicas'!$D$22)+_xlfn.XLOOKUP($B129,'Premissas Técnicas'!$B$27:$B$31,'Premissas Técnicas'!$D$27:$D$31))/$D$144*F148+'Premissas Técnicas'!G41</f>
        <v>0</v>
      </c>
      <c r="G129" s="492">
        <f>(_xlfn.XLOOKUP($B129,Dashboard!$D$27:$H$27,Dashboard!$D$28:$H$28)*('Premissas Técnicas'!$D$22)+_xlfn.XLOOKUP($B129,'Premissas Técnicas'!$B$27:$B$31,'Premissas Técnicas'!$D$27:$D$31))/$D$144*G148+'Premissas Técnicas'!H41</f>
        <v>0</v>
      </c>
      <c r="H129" s="492">
        <f>(_xlfn.XLOOKUP($B129,Dashboard!$D$27:$H$27,Dashboard!$D$28:$H$28)*('Premissas Técnicas'!$D$22)+_xlfn.XLOOKUP($B129,'Premissas Técnicas'!$B$27:$B$31,'Premissas Técnicas'!$D$27:$D$31))/$D$144*H148+'Premissas Técnicas'!I41</f>
        <v>0</v>
      </c>
      <c r="I129" s="492">
        <f>(_xlfn.XLOOKUP($B129,Dashboard!$D$27:$H$27,Dashboard!$D$28:$H$28)*('Premissas Técnicas'!$D$22)+_xlfn.XLOOKUP($B129,'Premissas Técnicas'!$B$27:$B$31,'Premissas Técnicas'!$D$27:$D$31))/$D$144*I148+'Premissas Técnicas'!J41</f>
        <v>0</v>
      </c>
      <c r="J129" s="492">
        <f>(_xlfn.XLOOKUP($B129,Dashboard!$D$27:$H$27,Dashboard!$D$28:$H$28)*('Premissas Técnicas'!$D$22)+_xlfn.XLOOKUP($B129,'Premissas Técnicas'!$B$27:$B$31,'Premissas Técnicas'!$D$27:$D$31))/$D$144*J148+'Premissas Técnicas'!K41</f>
        <v>0</v>
      </c>
      <c r="K129" s="492">
        <f>(_xlfn.XLOOKUP($B129,Dashboard!$D$27:$H$27,Dashboard!$D$28:$H$28)*('Premissas Técnicas'!$D$22)+_xlfn.XLOOKUP($B129,'Premissas Técnicas'!$B$27:$B$31,'Premissas Técnicas'!$D$27:$D$31))/$D$144*K148+'Premissas Técnicas'!L41</f>
        <v>14752.713032757485</v>
      </c>
      <c r="L129" s="492">
        <f>(_xlfn.XLOOKUP($B129,Dashboard!$D$27:$H$27,Dashboard!$D$28:$H$28)*('Premissas Técnicas'!$D$22)+_xlfn.XLOOKUP($B129,'Premissas Técnicas'!$B$27:$B$31,'Premissas Técnicas'!$D$27:$D$31))/$D$144*L148+'Premissas Técnicas'!M41</f>
        <v>14752.713032757485</v>
      </c>
      <c r="M129" s="492">
        <f>(_xlfn.XLOOKUP($B129,Dashboard!$D$27:$H$27,Dashboard!$D$28:$H$28)*('Premissas Técnicas'!$D$22)+_xlfn.XLOOKUP($B129,'Premissas Técnicas'!$B$27:$B$31,'Premissas Técnicas'!$D$27:$D$31))/$D$144*M148+'Premissas Técnicas'!N41</f>
        <v>1193.3459809615383</v>
      </c>
      <c r="N129" s="492">
        <f>(_xlfn.XLOOKUP($B129,Dashboard!$D$27:$H$27,Dashboard!$D$28:$H$28)*('Premissas Técnicas'!$D$22)+_xlfn.XLOOKUP($B129,'Premissas Técnicas'!$B$27:$B$31,'Premissas Técnicas'!$D$27:$D$31))/$D$144*N148+'Premissas Técnicas'!O41</f>
        <v>1193.3459809615383</v>
      </c>
      <c r="O129" s="492">
        <f>(_xlfn.XLOOKUP($B129,Dashboard!$D$27:$H$27,Dashboard!$D$28:$H$28)*('Premissas Técnicas'!$D$22)+_xlfn.XLOOKUP($B129,'Premissas Técnicas'!$B$27:$B$31,'Premissas Técnicas'!$D$27:$D$31))/$D$144*O148+'Premissas Técnicas'!P41</f>
        <v>0</v>
      </c>
      <c r="P129" s="492">
        <f>(_xlfn.XLOOKUP($B129,Dashboard!$D$27:$H$27,Dashboard!$D$28:$H$28)*('Premissas Técnicas'!$D$22)+_xlfn.XLOOKUP($B129,'Premissas Técnicas'!$B$27:$B$31,'Premissas Técnicas'!$D$27:$D$31))/$D$144*P148+'Premissas Técnicas'!Q41</f>
        <v>0</v>
      </c>
      <c r="Q129" s="492">
        <f>(_xlfn.XLOOKUP($B129,Dashboard!$D$27:$H$27,Dashboard!$D$28:$H$28)*('Premissas Técnicas'!$D$22)+_xlfn.XLOOKUP($B129,'Premissas Técnicas'!$B$27:$B$31,'Premissas Técnicas'!$D$27:$D$31))/$D$144*Q148+'Premissas Técnicas'!R41</f>
        <v>0</v>
      </c>
      <c r="R129" s="492">
        <f>(_xlfn.XLOOKUP($B129,Dashboard!$D$27:$H$27,Dashboard!$D$28:$H$28)*('Premissas Técnicas'!$D$22)+_xlfn.XLOOKUP($B129,'Premissas Técnicas'!$B$27:$B$31,'Premissas Técnicas'!$D$27:$D$31))/$D$144*R148+'Premissas Técnicas'!S41</f>
        <v>0</v>
      </c>
      <c r="S129" s="492">
        <f>(_xlfn.XLOOKUP($B129,Dashboard!$D$27:$H$27,Dashboard!$D$28:$H$28)*('Premissas Técnicas'!$D$22)+_xlfn.XLOOKUP($B129,'Premissas Técnicas'!$B$27:$B$31,'Premissas Técnicas'!$D$27:$D$31))/$D$144*S148+'Premissas Técnicas'!T41</f>
        <v>0</v>
      </c>
      <c r="T129" s="492">
        <f>(_xlfn.XLOOKUP($B129,Dashboard!$D$27:$H$27,Dashboard!$D$28:$H$28)*('Premissas Técnicas'!$D$22)+_xlfn.XLOOKUP($B129,'Premissas Técnicas'!$B$27:$B$31,'Premissas Técnicas'!$D$27:$D$31))/$D$144*T148+'Premissas Técnicas'!U41</f>
        <v>0</v>
      </c>
      <c r="U129" s="492">
        <f>(_xlfn.XLOOKUP($B129,Dashboard!$D$27:$H$27,Dashboard!$D$28:$H$28)*('Premissas Técnicas'!$D$22)+_xlfn.XLOOKUP($B129,'Premissas Técnicas'!$B$27:$B$31,'Premissas Técnicas'!$D$27:$D$31))/$D$144*U148+'Premissas Técnicas'!V41</f>
        <v>0</v>
      </c>
      <c r="V129" s="492">
        <f>(_xlfn.XLOOKUP($B129,Dashboard!$D$27:$H$27,Dashboard!$D$28:$H$28)*('Premissas Técnicas'!$D$22)+_xlfn.XLOOKUP($B129,'Premissas Técnicas'!$B$27:$B$31,'Premissas Técnicas'!$D$27:$D$31))/$D$144*V148+'Premissas Técnicas'!W41</f>
        <v>0</v>
      </c>
      <c r="W129" s="492">
        <f>(_xlfn.XLOOKUP($B129,Dashboard!$D$27:$H$27,Dashboard!$D$28:$H$28)*('Premissas Técnicas'!$D$22)+_xlfn.XLOOKUP($B129,'Premissas Técnicas'!$B$27:$B$31,'Premissas Técnicas'!$D$27:$D$31))/$D$144*W148+'Premissas Técnicas'!X41</f>
        <v>0</v>
      </c>
      <c r="X129" s="492">
        <f>(_xlfn.XLOOKUP($B129,Dashboard!$D$27:$H$27,Dashboard!$D$28:$H$28)*('Premissas Técnicas'!$D$22)+_xlfn.XLOOKUP($B129,'Premissas Técnicas'!$B$27:$B$31,'Premissas Técnicas'!$D$27:$D$31))/$D$144*X148+'Premissas Técnicas'!Y41</f>
        <v>0</v>
      </c>
      <c r="Y129" s="492">
        <f>(_xlfn.XLOOKUP($B129,Dashboard!$D$27:$H$27,Dashboard!$D$28:$H$28)*('Premissas Técnicas'!$D$22)+_xlfn.XLOOKUP($B129,'Premissas Técnicas'!$B$27:$B$31,'Premissas Técnicas'!$D$27:$D$31))/$D$144*Y148+'Premissas Técnicas'!Z41</f>
        <v>0</v>
      </c>
      <c r="Z129" s="492">
        <f>(_xlfn.XLOOKUP($B129,Dashboard!$D$27:$H$27,Dashboard!$D$28:$H$28)*('Premissas Técnicas'!$D$22)+_xlfn.XLOOKUP($B129,'Premissas Técnicas'!$B$27:$B$31,'Premissas Técnicas'!$D$27:$D$31))/$D$144*Z148+'Premissas Técnicas'!AA41</f>
        <v>0</v>
      </c>
      <c r="AA129" s="492">
        <f>(_xlfn.XLOOKUP($B129,Dashboard!$D$27:$H$27,Dashboard!$D$28:$H$28)*('Premissas Técnicas'!$D$22)+_xlfn.XLOOKUP($B129,'Premissas Técnicas'!$B$27:$B$31,'Premissas Técnicas'!$D$27:$D$31))/$D$144*AA148+'Premissas Técnicas'!AB41</f>
        <v>0</v>
      </c>
      <c r="AB129" s="492">
        <f>(_xlfn.XLOOKUP($B129,Dashboard!$D$27:$H$27,Dashboard!$D$28:$H$28)*('Premissas Técnicas'!$D$22)+_xlfn.XLOOKUP($B129,'Premissas Técnicas'!$B$27:$B$31,'Premissas Técnicas'!$D$27:$D$31))/$D$144*AB148+'Premissas Técnicas'!AC41</f>
        <v>0</v>
      </c>
      <c r="AC129" s="492">
        <f>(_xlfn.XLOOKUP($B129,Dashboard!$D$27:$H$27,Dashboard!$D$28:$H$28)*('Premissas Técnicas'!$D$22)+_xlfn.XLOOKUP($B129,'Premissas Técnicas'!$B$27:$B$31,'Premissas Técnicas'!$D$27:$D$31))/$D$144*AC148+'Premissas Técnicas'!AD41</f>
        <v>0</v>
      </c>
      <c r="AD129" s="492">
        <f>(_xlfn.XLOOKUP($B129,Dashboard!$D$27:$H$27,Dashboard!$D$28:$H$28)*('Premissas Técnicas'!$D$22)+_xlfn.XLOOKUP($B129,'Premissas Técnicas'!$B$27:$B$31,'Premissas Técnicas'!$D$27:$D$31))/$D$144*AD148+'Premissas Técnicas'!AE41</f>
        <v>0</v>
      </c>
      <c r="AE129" s="492">
        <f>(_xlfn.XLOOKUP($B129,Dashboard!$D$27:$H$27,Dashboard!$D$28:$H$28)*('Premissas Técnicas'!$D$22)+_xlfn.XLOOKUP($B129,'Premissas Técnicas'!$B$27:$B$31,'Premissas Técnicas'!$D$27:$D$31))/$D$144*AE148+'Premissas Técnicas'!AF41</f>
        <v>0</v>
      </c>
      <c r="AF129" s="492">
        <f>(_xlfn.XLOOKUP($B129,Dashboard!$D$27:$H$27,Dashboard!$D$28:$H$28)*('Premissas Técnicas'!$D$22)+_xlfn.XLOOKUP($B129,'Premissas Técnicas'!$B$27:$B$31,'Premissas Técnicas'!$D$27:$D$31))/$D$144*AF148+'Premissas Técnicas'!AG41</f>
        <v>0</v>
      </c>
      <c r="AG129" s="492">
        <f>(_xlfn.XLOOKUP($B129,Dashboard!$D$27:$H$27,Dashboard!$D$28:$H$28)*('Premissas Técnicas'!$D$22)+_xlfn.XLOOKUP($B129,'Premissas Técnicas'!$B$27:$B$31,'Premissas Técnicas'!$D$27:$D$31))/$D$144*AG148+'Premissas Técnicas'!AH41</f>
        <v>0</v>
      </c>
      <c r="AH129" s="492">
        <f>(_xlfn.XLOOKUP($B129,Dashboard!$D$27:$H$27,Dashboard!$D$28:$H$28)*('Premissas Técnicas'!$D$22)+_xlfn.XLOOKUP($B129,'Premissas Técnicas'!$B$27:$B$31,'Premissas Técnicas'!$D$27:$D$31))/$D$144*AH148+'Premissas Técnicas'!AI41</f>
        <v>0</v>
      </c>
      <c r="AI129" s="492">
        <f>(_xlfn.XLOOKUP($B129,Dashboard!$D$27:$H$27,Dashboard!$D$28:$H$28)*('Premissas Técnicas'!$D$22)+_xlfn.XLOOKUP($B129,'Premissas Técnicas'!$B$27:$B$31,'Premissas Técnicas'!$D$27:$D$31))/$D$144*AI148+'Premissas Técnicas'!AJ41</f>
        <v>0</v>
      </c>
      <c r="AJ129" s="487"/>
    </row>
    <row r="130" spans="2:36" s="357" customFormat="1" ht="12">
      <c r="B130" s="477"/>
      <c r="D130" s="448"/>
      <c r="E130" s="487"/>
      <c r="F130" s="487"/>
      <c r="G130" s="487"/>
      <c r="H130" s="487"/>
      <c r="I130" s="487"/>
      <c r="J130" s="487"/>
      <c r="K130" s="487"/>
      <c r="L130" s="487"/>
      <c r="M130" s="487"/>
      <c r="N130" s="487"/>
      <c r="O130" s="487"/>
      <c r="P130" s="487"/>
      <c r="Q130" s="487"/>
      <c r="R130" s="487"/>
      <c r="S130" s="487"/>
      <c r="T130" s="487"/>
      <c r="U130" s="487"/>
      <c r="V130" s="487"/>
      <c r="W130" s="487"/>
      <c r="X130" s="487"/>
      <c r="Y130" s="487"/>
      <c r="Z130" s="487"/>
      <c r="AA130" s="487"/>
      <c r="AB130" s="487"/>
      <c r="AC130" s="487"/>
      <c r="AD130" s="487"/>
      <c r="AE130" s="487"/>
      <c r="AF130" s="487"/>
      <c r="AG130" s="487"/>
      <c r="AH130" s="487"/>
      <c r="AI130" s="487"/>
      <c r="AJ130" s="487"/>
    </row>
    <row r="131" spans="2:36" s="357" customFormat="1" ht="12">
      <c r="B131" s="357" t="s">
        <v>382</v>
      </c>
      <c r="C131" s="357" t="s">
        <v>383</v>
      </c>
      <c r="D131" s="460">
        <f>'Premissas Técnicas'!D44</f>
        <v>2.5000000000000001E-2</v>
      </c>
      <c r="E131" s="487"/>
      <c r="F131" s="487"/>
      <c r="G131" s="487"/>
      <c r="H131" s="487"/>
      <c r="I131" s="487"/>
      <c r="J131" s="487"/>
      <c r="K131" s="487"/>
      <c r="L131" s="487"/>
      <c r="M131" s="487"/>
      <c r="N131" s="487"/>
      <c r="O131" s="487"/>
      <c r="P131" s="487"/>
      <c r="Q131" s="487"/>
      <c r="R131" s="487"/>
      <c r="S131" s="487"/>
      <c r="T131" s="487"/>
      <c r="U131" s="487"/>
      <c r="V131" s="487"/>
      <c r="W131" s="487"/>
      <c r="X131" s="487"/>
      <c r="Y131" s="487"/>
      <c r="Z131" s="487"/>
      <c r="AA131" s="487"/>
      <c r="AB131" s="487"/>
      <c r="AC131" s="487"/>
      <c r="AD131" s="487"/>
      <c r="AE131" s="487"/>
      <c r="AF131" s="487"/>
      <c r="AG131" s="487"/>
      <c r="AH131" s="487"/>
      <c r="AI131" s="487"/>
      <c r="AJ131" s="487"/>
    </row>
    <row r="132" spans="2:36">
      <c r="D132" s="462"/>
      <c r="E132" s="493"/>
      <c r="F132" s="493"/>
      <c r="G132" s="493"/>
      <c r="H132" s="493"/>
      <c r="I132" s="493"/>
      <c r="J132" s="493"/>
      <c r="K132" s="493"/>
      <c r="L132" s="493"/>
      <c r="M132" s="493"/>
      <c r="N132" s="493"/>
      <c r="O132" s="493"/>
      <c r="P132" s="493"/>
      <c r="Q132" s="493"/>
      <c r="R132" s="493"/>
      <c r="S132" s="493"/>
      <c r="T132" s="493"/>
      <c r="U132" s="493"/>
      <c r="V132" s="493"/>
      <c r="W132" s="493"/>
      <c r="X132" s="493"/>
      <c r="Y132" s="493"/>
      <c r="Z132" s="493"/>
      <c r="AA132" s="493"/>
      <c r="AB132" s="493"/>
      <c r="AC132" s="493"/>
      <c r="AD132" s="493"/>
      <c r="AE132" s="493"/>
      <c r="AF132" s="493"/>
      <c r="AG132" s="493"/>
      <c r="AH132" s="493"/>
      <c r="AI132" s="493"/>
      <c r="AJ132" s="493"/>
    </row>
    <row r="133" spans="2:36">
      <c r="D133" s="462"/>
      <c r="E133" s="493"/>
      <c r="F133" s="493"/>
      <c r="G133" s="493"/>
      <c r="H133" s="493"/>
      <c r="I133" s="493"/>
      <c r="J133" s="493"/>
      <c r="K133" s="493"/>
      <c r="L133" s="493"/>
      <c r="M133" s="493"/>
      <c r="N133" s="493"/>
      <c r="O133" s="493"/>
      <c r="P133" s="493"/>
      <c r="Q133" s="493"/>
      <c r="R133" s="493"/>
      <c r="S133" s="493"/>
      <c r="T133" s="493"/>
      <c r="U133" s="493"/>
      <c r="V133" s="493"/>
      <c r="W133" s="493"/>
      <c r="X133" s="493"/>
      <c r="Y133" s="493"/>
      <c r="Z133" s="493"/>
      <c r="AA133" s="493"/>
      <c r="AB133" s="493"/>
      <c r="AC133" s="493"/>
      <c r="AD133" s="493"/>
      <c r="AE133" s="493"/>
      <c r="AF133" s="493"/>
      <c r="AG133" s="493"/>
      <c r="AH133" s="493"/>
      <c r="AI133" s="493"/>
      <c r="AJ133" s="493"/>
    </row>
    <row r="134" spans="2:36" s="357" customFormat="1" ht="12">
      <c r="B134" s="447" t="s">
        <v>382</v>
      </c>
      <c r="C134" s="447"/>
      <c r="D134" s="494">
        <f>SUM(D135:D139)</f>
        <v>154265.7913522615</v>
      </c>
      <c r="E134" s="485">
        <f t="shared" ref="E134" si="56">SUM(E135:E139)</f>
        <v>0</v>
      </c>
      <c r="F134" s="485">
        <f>SUM(F135:F139)</f>
        <v>0</v>
      </c>
      <c r="G134" s="485">
        <f t="shared" ref="G134:AI134" si="57">SUM(G135:G139)</f>
        <v>688.79033910449016</v>
      </c>
      <c r="H134" s="485">
        <f t="shared" si="57"/>
        <v>1377.5806782089803</v>
      </c>
      <c r="I134" s="485">
        <f t="shared" si="57"/>
        <v>1431.2812473522497</v>
      </c>
      <c r="J134" s="485">
        <f t="shared" si="57"/>
        <v>2763.1766453981891</v>
      </c>
      <c r="K134" s="485">
        <f t="shared" si="57"/>
        <v>4495.8067057038897</v>
      </c>
      <c r="L134" s="485">
        <f t="shared" si="57"/>
        <v>5408.5607114979748</v>
      </c>
      <c r="M134" s="485">
        <f t="shared" si="57"/>
        <v>5908.6465952226818</v>
      </c>
      <c r="N134" s="485">
        <f t="shared" si="57"/>
        <v>5980.247354080374</v>
      </c>
      <c r="O134" s="485">
        <f t="shared" si="57"/>
        <v>6010.0810036044122</v>
      </c>
      <c r="P134" s="485">
        <f t="shared" si="57"/>
        <v>6010.0810036044122</v>
      </c>
      <c r="Q134" s="485">
        <f t="shared" si="57"/>
        <v>6010.0810036044122</v>
      </c>
      <c r="R134" s="485">
        <f t="shared" si="57"/>
        <v>6010.0810036044122</v>
      </c>
      <c r="S134" s="485">
        <f t="shared" si="57"/>
        <v>6010.0810036044122</v>
      </c>
      <c r="T134" s="485">
        <f t="shared" si="57"/>
        <v>6010.0810036044122</v>
      </c>
      <c r="U134" s="485">
        <f t="shared" si="57"/>
        <v>6010.0810036044122</v>
      </c>
      <c r="V134" s="485">
        <f t="shared" si="57"/>
        <v>6010.0810036044122</v>
      </c>
      <c r="W134" s="485">
        <f t="shared" si="57"/>
        <v>6010.0810036044122</v>
      </c>
      <c r="X134" s="485">
        <f t="shared" si="57"/>
        <v>6010.0810036044122</v>
      </c>
      <c r="Y134" s="485">
        <f t="shared" si="57"/>
        <v>6010.0810036044122</v>
      </c>
      <c r="Z134" s="485">
        <f t="shared" si="57"/>
        <v>6010.0810036044122</v>
      </c>
      <c r="AA134" s="485">
        <f t="shared" si="57"/>
        <v>6010.0810036044122</v>
      </c>
      <c r="AB134" s="485">
        <f t="shared" si="57"/>
        <v>6010.0810036044122</v>
      </c>
      <c r="AC134" s="485">
        <f t="shared" si="57"/>
        <v>6010.0810036044122</v>
      </c>
      <c r="AD134" s="485">
        <f t="shared" si="57"/>
        <v>6010.0810036044122</v>
      </c>
      <c r="AE134" s="485">
        <f t="shared" si="57"/>
        <v>6010.0810036044122</v>
      </c>
      <c r="AF134" s="485">
        <f t="shared" si="57"/>
        <v>6010.0810036044122</v>
      </c>
      <c r="AG134" s="485">
        <f t="shared" si="57"/>
        <v>6010.0810036044122</v>
      </c>
      <c r="AH134" s="485">
        <f t="shared" si="57"/>
        <v>6010.0810036044122</v>
      </c>
      <c r="AI134" s="485">
        <f t="shared" si="57"/>
        <v>6010.0810036044122</v>
      </c>
      <c r="AJ134" s="485"/>
    </row>
    <row r="135" spans="2:36" s="357" customFormat="1" ht="12">
      <c r="B135" s="477" t="str">
        <f>B125</f>
        <v>ETE Atuba Sul</v>
      </c>
      <c r="D135" s="452">
        <f>SUM(E135:AI135)</f>
        <v>42107.179493549214</v>
      </c>
      <c r="E135" s="492"/>
      <c r="F135" s="492">
        <f>SUM($E125:E125)*$D$131</f>
        <v>0</v>
      </c>
      <c r="G135" s="492">
        <f>SUM($E125:F125)*$D$131</f>
        <v>688.79033910449016</v>
      </c>
      <c r="H135" s="492">
        <f>SUM($E125:G125)*$D$131</f>
        <v>1377.5806782089803</v>
      </c>
      <c r="I135" s="492">
        <f>SUM($E125:H125)*$D$131</f>
        <v>1431.2812473522497</v>
      </c>
      <c r="J135" s="492">
        <f>SUM($E125:I125)*$D$131</f>
        <v>1484.9818164955188</v>
      </c>
      <c r="K135" s="492">
        <f>SUM($E125:J125)*$D$131</f>
        <v>1484.9818164955188</v>
      </c>
      <c r="L135" s="492">
        <f>SUM($E125:K125)*$D$131</f>
        <v>1484.9818164955188</v>
      </c>
      <c r="M135" s="492">
        <f>SUM($E125:L125)*$D$131</f>
        <v>1484.9818164955188</v>
      </c>
      <c r="N135" s="492">
        <f>SUM($E125:M125)*$D$131</f>
        <v>1484.9818164955188</v>
      </c>
      <c r="O135" s="492">
        <f>SUM($E125:N125)*$D$131</f>
        <v>1484.9818164955188</v>
      </c>
      <c r="P135" s="492">
        <f>SUM($E125:O125)*$D$131</f>
        <v>1484.9818164955188</v>
      </c>
      <c r="Q135" s="492">
        <f>SUM($E125:P125)*$D$131</f>
        <v>1484.9818164955188</v>
      </c>
      <c r="R135" s="492">
        <f>SUM($E125:Q125)*$D$131</f>
        <v>1484.9818164955188</v>
      </c>
      <c r="S135" s="492">
        <f>SUM($E125:R125)*$D$131</f>
        <v>1484.9818164955188</v>
      </c>
      <c r="T135" s="492">
        <f>SUM($E125:S125)*$D$131</f>
        <v>1484.9818164955188</v>
      </c>
      <c r="U135" s="492">
        <f>SUM($E125:T125)*$D$131</f>
        <v>1484.9818164955188</v>
      </c>
      <c r="V135" s="492">
        <f>SUM($E125:U125)*$D$131</f>
        <v>1484.9818164955188</v>
      </c>
      <c r="W135" s="492">
        <f>SUM($E125:V125)*$D$131</f>
        <v>1484.9818164955188</v>
      </c>
      <c r="X135" s="492">
        <f>SUM($E125:W125)*$D$131</f>
        <v>1484.9818164955188</v>
      </c>
      <c r="Y135" s="492">
        <f>SUM($E125:X125)*$D$131</f>
        <v>1484.9818164955188</v>
      </c>
      <c r="Z135" s="492">
        <f>SUM($E125:Y125)*$D$131</f>
        <v>1484.9818164955188</v>
      </c>
      <c r="AA135" s="492">
        <f>SUM($E125:Z125)*$D$131</f>
        <v>1484.9818164955188</v>
      </c>
      <c r="AB135" s="492">
        <f>SUM($E125:AA125)*$D$131</f>
        <v>1484.9818164955188</v>
      </c>
      <c r="AC135" s="492">
        <f>SUM($E125:AB125)*$D$131</f>
        <v>1484.9818164955188</v>
      </c>
      <c r="AD135" s="492">
        <f>SUM($E125:AC125)*$D$131</f>
        <v>1484.9818164955188</v>
      </c>
      <c r="AE135" s="492">
        <f>SUM($E125:AD125)*$D$131</f>
        <v>1484.9818164955188</v>
      </c>
      <c r="AF135" s="492">
        <f>SUM($E125:AE125)*$D$131</f>
        <v>1484.9818164955188</v>
      </c>
      <c r="AG135" s="492">
        <f>SUM($E125:AF125)*$D$131</f>
        <v>1484.9818164955188</v>
      </c>
      <c r="AH135" s="492">
        <f>SUM($E125:AG125)*$D$131</f>
        <v>1484.9818164955188</v>
      </c>
      <c r="AI135" s="492">
        <f>SUM($E125:AH125)*$D$131</f>
        <v>1484.9818164955188</v>
      </c>
      <c r="AJ135" s="487"/>
    </row>
    <row r="136" spans="2:36" s="357" customFormat="1" ht="12">
      <c r="B136" s="477" t="str">
        <f>B126</f>
        <v>ETE Cafezal</v>
      </c>
      <c r="D136" s="452">
        <f t="shared" ref="D136:D139" si="58">SUM(E136:AI136)</f>
        <v>0</v>
      </c>
      <c r="E136" s="492"/>
      <c r="F136" s="492">
        <f>SUM($E126:E126)*$D$131</f>
        <v>0</v>
      </c>
      <c r="G136" s="492">
        <f>SUM($E126:F126)*$D$131</f>
        <v>0</v>
      </c>
      <c r="H136" s="492">
        <f>SUM($E126:G126)*$D$131</f>
        <v>0</v>
      </c>
      <c r="I136" s="492">
        <f>SUM($E126:H126)*$D$131</f>
        <v>0</v>
      </c>
      <c r="J136" s="492">
        <f>SUM($E126:I126)*$D$131</f>
        <v>0</v>
      </c>
      <c r="K136" s="492">
        <f>SUM($E126:J126)*$D$131</f>
        <v>0</v>
      </c>
      <c r="L136" s="492">
        <f>SUM($E126:K126)*$D$131</f>
        <v>0</v>
      </c>
      <c r="M136" s="492">
        <f>SUM($E126:L126)*$D$131</f>
        <v>0</v>
      </c>
      <c r="N136" s="492">
        <f>SUM($E126:M126)*$D$131</f>
        <v>0</v>
      </c>
      <c r="O136" s="492">
        <f>SUM($E126:N126)*$D$131</f>
        <v>0</v>
      </c>
      <c r="P136" s="492">
        <f>SUM($E126:O126)*$D$131</f>
        <v>0</v>
      </c>
      <c r="Q136" s="492">
        <f>SUM($E126:P126)*$D$131</f>
        <v>0</v>
      </c>
      <c r="R136" s="492">
        <f>SUM($E126:Q126)*$D$131</f>
        <v>0</v>
      </c>
      <c r="S136" s="492">
        <f>SUM($E126:R126)*$D$131</f>
        <v>0</v>
      </c>
      <c r="T136" s="492">
        <f>SUM($E126:S126)*$D$131</f>
        <v>0</v>
      </c>
      <c r="U136" s="492">
        <f>SUM($E126:T126)*$D$131</f>
        <v>0</v>
      </c>
      <c r="V136" s="492">
        <f>SUM($E126:U126)*$D$131</f>
        <v>0</v>
      </c>
      <c r="W136" s="492">
        <f>SUM($E126:V126)*$D$131</f>
        <v>0</v>
      </c>
      <c r="X136" s="492">
        <f>SUM($E126:W126)*$D$131</f>
        <v>0</v>
      </c>
      <c r="Y136" s="492">
        <f>SUM($E126:X126)*$D$131</f>
        <v>0</v>
      </c>
      <c r="Z136" s="492">
        <f>SUM($E126:Y126)*$D$131</f>
        <v>0</v>
      </c>
      <c r="AA136" s="492">
        <f>SUM($E126:Z126)*$D$131</f>
        <v>0</v>
      </c>
      <c r="AB136" s="492">
        <f>SUM($E126:AA126)*$D$131</f>
        <v>0</v>
      </c>
      <c r="AC136" s="492">
        <f>SUM($E126:AB126)*$D$131</f>
        <v>0</v>
      </c>
      <c r="AD136" s="492">
        <f>SUM($E126:AC126)*$D$131</f>
        <v>0</v>
      </c>
      <c r="AE136" s="492">
        <f>SUM($E126:AD126)*$D$131</f>
        <v>0</v>
      </c>
      <c r="AF136" s="492">
        <f>SUM($E126:AE126)*$D$131</f>
        <v>0</v>
      </c>
      <c r="AG136" s="492">
        <f>SUM($E126:AF126)*$D$131</f>
        <v>0</v>
      </c>
      <c r="AH136" s="492">
        <f>SUM($E126:AG126)*$D$131</f>
        <v>0</v>
      </c>
      <c r="AI136" s="492">
        <f>SUM($E126:AH126)*$D$131</f>
        <v>0</v>
      </c>
      <c r="AJ136" s="487"/>
    </row>
    <row r="137" spans="2:36" s="357" customFormat="1" ht="12">
      <c r="B137" s="477" t="str">
        <f>B127</f>
        <v>ETE CIC-Xisto</v>
      </c>
      <c r="D137" s="452">
        <f t="shared" si="58"/>
        <v>69394.480856925613</v>
      </c>
      <c r="E137" s="492"/>
      <c r="F137" s="492">
        <f>SUM($E127:E127)*$D$131</f>
        <v>0</v>
      </c>
      <c r="G137" s="492">
        <f>SUM($E127:F127)*$D$131</f>
        <v>0</v>
      </c>
      <c r="H137" s="492">
        <f>SUM($E127:G127)*$D$131</f>
        <v>0</v>
      </c>
      <c r="I137" s="492">
        <f>SUM($E127:H127)*$D$131</f>
        <v>0</v>
      </c>
      <c r="J137" s="492">
        <f>SUM($E127:I127)*$D$131</f>
        <v>1278.19482890267</v>
      </c>
      <c r="K137" s="492">
        <f>SUM($E127:J127)*$D$131</f>
        <v>2556.38965780534</v>
      </c>
      <c r="L137" s="492">
        <f>SUM($E127:K127)*$D$131</f>
        <v>2645.8906063774557</v>
      </c>
      <c r="M137" s="492">
        <f>SUM($E127:L127)*$D$131</f>
        <v>2735.3915549495709</v>
      </c>
      <c r="N137" s="492">
        <f>SUM($E127:M127)*$D$131</f>
        <v>2735.3915549495709</v>
      </c>
      <c r="O137" s="492">
        <f>SUM($E127:N127)*$D$131</f>
        <v>2735.3915549495709</v>
      </c>
      <c r="P137" s="492">
        <f>SUM($E127:O127)*$D$131</f>
        <v>2735.3915549495709</v>
      </c>
      <c r="Q137" s="492">
        <f>SUM($E127:P127)*$D$131</f>
        <v>2735.3915549495709</v>
      </c>
      <c r="R137" s="492">
        <f>SUM($E127:Q127)*$D$131</f>
        <v>2735.3915549495709</v>
      </c>
      <c r="S137" s="492">
        <f>SUM($E127:R127)*$D$131</f>
        <v>2735.3915549495709</v>
      </c>
      <c r="T137" s="492">
        <f>SUM($E127:S127)*$D$131</f>
        <v>2735.3915549495709</v>
      </c>
      <c r="U137" s="492">
        <f>SUM($E127:T127)*$D$131</f>
        <v>2735.3915549495709</v>
      </c>
      <c r="V137" s="492">
        <f>SUM($E127:U127)*$D$131</f>
        <v>2735.3915549495709</v>
      </c>
      <c r="W137" s="492">
        <f>SUM($E127:V127)*$D$131</f>
        <v>2735.3915549495709</v>
      </c>
      <c r="X137" s="492">
        <f>SUM($E127:W127)*$D$131</f>
        <v>2735.3915549495709</v>
      </c>
      <c r="Y137" s="492">
        <f>SUM($E127:X127)*$D$131</f>
        <v>2735.3915549495709</v>
      </c>
      <c r="Z137" s="492">
        <f>SUM($E127:Y127)*$D$131</f>
        <v>2735.3915549495709</v>
      </c>
      <c r="AA137" s="492">
        <f>SUM($E127:Z127)*$D$131</f>
        <v>2735.3915549495709</v>
      </c>
      <c r="AB137" s="492">
        <f>SUM($E127:AA127)*$D$131</f>
        <v>2735.3915549495709</v>
      </c>
      <c r="AC137" s="492">
        <f>SUM($E127:AB127)*$D$131</f>
        <v>2735.3915549495709</v>
      </c>
      <c r="AD137" s="492">
        <f>SUM($E127:AC127)*$D$131</f>
        <v>2735.3915549495709</v>
      </c>
      <c r="AE137" s="492">
        <f>SUM($E127:AD127)*$D$131</f>
        <v>2735.3915549495709</v>
      </c>
      <c r="AF137" s="492">
        <f>SUM($E127:AE127)*$D$131</f>
        <v>2735.3915549495709</v>
      </c>
      <c r="AG137" s="492">
        <f>SUM($E127:AF127)*$D$131</f>
        <v>2735.3915549495709</v>
      </c>
      <c r="AH137" s="492">
        <f>SUM($E127:AG127)*$D$131</f>
        <v>2735.3915549495709</v>
      </c>
      <c r="AI137" s="492">
        <f>SUM($E127:AH127)*$D$131</f>
        <v>2735.3915549495709</v>
      </c>
      <c r="AJ137" s="487"/>
    </row>
    <row r="138" spans="2:36" s="357" customFormat="1" ht="12">
      <c r="B138" s="477" t="str">
        <f>B128</f>
        <v>ETE Rio Toledo</v>
      </c>
      <c r="D138" s="452">
        <f t="shared" si="58"/>
        <v>24146.846258762962</v>
      </c>
      <c r="E138" s="492"/>
      <c r="F138" s="492">
        <f>SUM($E128:E128)*$D$131</f>
        <v>0</v>
      </c>
      <c r="G138" s="492">
        <f>SUM($E128:F128)*$D$131</f>
        <v>0</v>
      </c>
      <c r="H138" s="492">
        <f>SUM($E128:G128)*$D$131</f>
        <v>0</v>
      </c>
      <c r="I138" s="492">
        <f>SUM($E128:H128)*$D$131</f>
        <v>0</v>
      </c>
      <c r="J138" s="492">
        <f>SUM($E128:I128)*$D$131</f>
        <v>0</v>
      </c>
      <c r="K138" s="492">
        <f>SUM($E128:J128)*$D$131</f>
        <v>454.43523140303154</v>
      </c>
      <c r="L138" s="492">
        <f>SUM($E128:K128)*$D$131</f>
        <v>908.87046280606307</v>
      </c>
      <c r="M138" s="492">
        <f>SUM($E128:L128)*$D$131</f>
        <v>950.63757213971701</v>
      </c>
      <c r="N138" s="492">
        <f>SUM($E128:M128)*$D$131</f>
        <v>992.40468147337094</v>
      </c>
      <c r="O138" s="492">
        <f>SUM($E128:N128)*$D$131</f>
        <v>992.40468147337094</v>
      </c>
      <c r="P138" s="492">
        <f>SUM($E128:O128)*$D$131</f>
        <v>992.40468147337094</v>
      </c>
      <c r="Q138" s="492">
        <f>SUM($E128:P128)*$D$131</f>
        <v>992.40468147337094</v>
      </c>
      <c r="R138" s="492">
        <f>SUM($E128:Q128)*$D$131</f>
        <v>992.40468147337094</v>
      </c>
      <c r="S138" s="492">
        <f>SUM($E128:R128)*$D$131</f>
        <v>992.40468147337094</v>
      </c>
      <c r="T138" s="492">
        <f>SUM($E128:S128)*$D$131</f>
        <v>992.40468147337094</v>
      </c>
      <c r="U138" s="492">
        <f>SUM($E128:T128)*$D$131</f>
        <v>992.40468147337094</v>
      </c>
      <c r="V138" s="492">
        <f>SUM($E128:U128)*$D$131</f>
        <v>992.40468147337094</v>
      </c>
      <c r="W138" s="492">
        <f>SUM($E128:V128)*$D$131</f>
        <v>992.40468147337094</v>
      </c>
      <c r="X138" s="492">
        <f>SUM($E128:W128)*$D$131</f>
        <v>992.40468147337094</v>
      </c>
      <c r="Y138" s="492">
        <f>SUM($E128:X128)*$D$131</f>
        <v>992.40468147337094</v>
      </c>
      <c r="Z138" s="492">
        <f>SUM($E128:Y128)*$D$131</f>
        <v>992.40468147337094</v>
      </c>
      <c r="AA138" s="492">
        <f>SUM($E128:Z128)*$D$131</f>
        <v>992.40468147337094</v>
      </c>
      <c r="AB138" s="492">
        <f>SUM($E128:AA128)*$D$131</f>
        <v>992.40468147337094</v>
      </c>
      <c r="AC138" s="492">
        <f>SUM($E128:AB128)*$D$131</f>
        <v>992.40468147337094</v>
      </c>
      <c r="AD138" s="492">
        <f>SUM($E128:AC128)*$D$131</f>
        <v>992.40468147337094</v>
      </c>
      <c r="AE138" s="492">
        <f>SUM($E128:AD128)*$D$131</f>
        <v>992.40468147337094</v>
      </c>
      <c r="AF138" s="492">
        <f>SUM($E128:AE128)*$D$131</f>
        <v>992.40468147337094</v>
      </c>
      <c r="AG138" s="492">
        <f>SUM($E128:AF128)*$D$131</f>
        <v>992.40468147337094</v>
      </c>
      <c r="AH138" s="492">
        <f>SUM($E128:AG128)*$D$131</f>
        <v>992.40468147337094</v>
      </c>
      <c r="AI138" s="492">
        <f>SUM($E128:AH128)*$D$131</f>
        <v>992.40468147337094</v>
      </c>
      <c r="AJ138" s="487"/>
    </row>
    <row r="139" spans="2:36" s="357" customFormat="1" ht="12">
      <c r="B139" s="477" t="str">
        <f>B129</f>
        <v>ETE Verde</v>
      </c>
      <c r="D139" s="452">
        <f t="shared" si="58"/>
        <v>18617.284743023702</v>
      </c>
      <c r="E139" s="492"/>
      <c r="F139" s="492">
        <f>SUM($E129:E129)*$D$131</f>
        <v>0</v>
      </c>
      <c r="G139" s="492">
        <f>SUM($E129:F129)*$D$131</f>
        <v>0</v>
      </c>
      <c r="H139" s="492">
        <f>SUM($E129:G129)*$D$131</f>
        <v>0</v>
      </c>
      <c r="I139" s="492">
        <f>SUM($E129:H129)*$D$131</f>
        <v>0</v>
      </c>
      <c r="J139" s="492">
        <f>SUM($E129:I129)*$D$131</f>
        <v>0</v>
      </c>
      <c r="K139" s="492">
        <f>SUM($E129:J129)*$D$131</f>
        <v>0</v>
      </c>
      <c r="L139" s="492">
        <f>SUM($E129:K129)*$D$131</f>
        <v>368.81782581893714</v>
      </c>
      <c r="M139" s="492">
        <f>SUM($E129:L129)*$D$131</f>
        <v>737.63565163787428</v>
      </c>
      <c r="N139" s="492">
        <f>SUM($E129:M129)*$D$131</f>
        <v>767.46930116191277</v>
      </c>
      <c r="O139" s="492">
        <f>SUM($E129:N129)*$D$131</f>
        <v>797.30295068595115</v>
      </c>
      <c r="P139" s="492">
        <f>SUM($E129:O129)*$D$131</f>
        <v>797.30295068595115</v>
      </c>
      <c r="Q139" s="492">
        <f>SUM($E129:P129)*$D$131</f>
        <v>797.30295068595115</v>
      </c>
      <c r="R139" s="492">
        <f>SUM($E129:Q129)*$D$131</f>
        <v>797.30295068595115</v>
      </c>
      <c r="S139" s="492">
        <f>SUM($E129:R129)*$D$131</f>
        <v>797.30295068595115</v>
      </c>
      <c r="T139" s="492">
        <f>SUM($E129:S129)*$D$131</f>
        <v>797.30295068595115</v>
      </c>
      <c r="U139" s="492">
        <f>SUM($E129:T129)*$D$131</f>
        <v>797.30295068595115</v>
      </c>
      <c r="V139" s="492">
        <f>SUM($E129:U129)*$D$131</f>
        <v>797.30295068595115</v>
      </c>
      <c r="W139" s="492">
        <f>SUM($E129:V129)*$D$131</f>
        <v>797.30295068595115</v>
      </c>
      <c r="X139" s="492">
        <f>SUM($E129:W129)*$D$131</f>
        <v>797.30295068595115</v>
      </c>
      <c r="Y139" s="492">
        <f>SUM($E129:X129)*$D$131</f>
        <v>797.30295068595115</v>
      </c>
      <c r="Z139" s="492">
        <f>SUM($E129:Y129)*$D$131</f>
        <v>797.30295068595115</v>
      </c>
      <c r="AA139" s="492">
        <f>SUM($E129:Z129)*$D$131</f>
        <v>797.30295068595115</v>
      </c>
      <c r="AB139" s="492">
        <f>SUM($E129:AA129)*$D$131</f>
        <v>797.30295068595115</v>
      </c>
      <c r="AC139" s="492">
        <f>SUM($E129:AB129)*$D$131</f>
        <v>797.30295068595115</v>
      </c>
      <c r="AD139" s="492">
        <f>SUM($E129:AC129)*$D$131</f>
        <v>797.30295068595115</v>
      </c>
      <c r="AE139" s="492">
        <f>SUM($E129:AD129)*$D$131</f>
        <v>797.30295068595115</v>
      </c>
      <c r="AF139" s="492">
        <f>SUM($E129:AE129)*$D$131</f>
        <v>797.30295068595115</v>
      </c>
      <c r="AG139" s="492">
        <f>SUM($E129:AF129)*$D$131</f>
        <v>797.30295068595115</v>
      </c>
      <c r="AH139" s="492">
        <f>SUM($E129:AG129)*$D$131</f>
        <v>797.30295068595115</v>
      </c>
      <c r="AI139" s="492">
        <f>SUM($E129:AH129)*$D$131</f>
        <v>797.30295068595115</v>
      </c>
      <c r="AJ139" s="487"/>
    </row>
    <row r="140" spans="2:36" s="357" customFormat="1" ht="12">
      <c r="B140" s="477"/>
      <c r="D140" s="491"/>
      <c r="E140" s="385"/>
      <c r="F140" s="385"/>
      <c r="G140" s="385"/>
      <c r="H140" s="385"/>
      <c r="I140" s="385"/>
      <c r="J140" s="385"/>
      <c r="K140" s="385"/>
      <c r="L140" s="385"/>
      <c r="M140" s="385"/>
      <c r="N140" s="385"/>
      <c r="O140" s="385"/>
      <c r="P140" s="385"/>
      <c r="Q140" s="385"/>
      <c r="R140" s="385"/>
      <c r="S140" s="385"/>
      <c r="T140" s="385"/>
      <c r="U140" s="385"/>
      <c r="V140" s="385"/>
      <c r="W140" s="385"/>
      <c r="X140" s="385"/>
      <c r="Y140" s="385"/>
      <c r="Z140" s="385"/>
      <c r="AA140" s="385"/>
      <c r="AB140" s="385"/>
      <c r="AC140" s="385"/>
      <c r="AD140" s="385"/>
      <c r="AE140" s="385"/>
      <c r="AF140" s="385"/>
      <c r="AG140" s="385"/>
      <c r="AH140" s="385"/>
      <c r="AI140" s="385"/>
    </row>
    <row r="141" spans="2:36" s="443" customFormat="1" ht="12">
      <c r="B141" s="443" t="s">
        <v>46</v>
      </c>
      <c r="D141" s="478"/>
    </row>
    <row r="142" spans="2:36" s="495" customFormat="1" ht="12">
      <c r="D142" s="496">
        <f>D134*66%*30%</f>
        <v>30544.626687747779</v>
      </c>
    </row>
    <row r="143" spans="2:36" s="357" customFormat="1" ht="12">
      <c r="B143" s="450" t="s">
        <v>386</v>
      </c>
      <c r="D143" s="448"/>
    </row>
    <row r="144" spans="2:36" s="357" customFormat="1" ht="12">
      <c r="B144" s="477" t="str">
        <f>B7</f>
        <v>ETE Atuba Sul</v>
      </c>
      <c r="D144" s="448">
        <f>D48</f>
        <v>2</v>
      </c>
      <c r="E144" s="357">
        <f t="shared" ref="E144:AI144" si="59">IF(AND(E$1&gt;=$D$47,E$1&lt;$D$49),1,0)*$D$7</f>
        <v>0</v>
      </c>
      <c r="F144" s="357">
        <f t="shared" si="59"/>
        <v>1</v>
      </c>
      <c r="G144" s="357">
        <f t="shared" si="59"/>
        <v>1</v>
      </c>
      <c r="H144" s="357">
        <f t="shared" si="59"/>
        <v>0</v>
      </c>
      <c r="I144" s="357">
        <f t="shared" si="59"/>
        <v>0</v>
      </c>
      <c r="J144" s="357">
        <f t="shared" si="59"/>
        <v>0</v>
      </c>
      <c r="K144" s="357">
        <f t="shared" si="59"/>
        <v>0</v>
      </c>
      <c r="L144" s="357">
        <f t="shared" si="59"/>
        <v>0</v>
      </c>
      <c r="M144" s="357">
        <f t="shared" si="59"/>
        <v>0</v>
      </c>
      <c r="N144" s="357">
        <f t="shared" si="59"/>
        <v>0</v>
      </c>
      <c r="O144" s="357">
        <f t="shared" si="59"/>
        <v>0</v>
      </c>
      <c r="P144" s="357">
        <f t="shared" si="59"/>
        <v>0</v>
      </c>
      <c r="Q144" s="357">
        <f t="shared" si="59"/>
        <v>0</v>
      </c>
      <c r="R144" s="357">
        <f t="shared" si="59"/>
        <v>0</v>
      </c>
      <c r="S144" s="357">
        <f t="shared" si="59"/>
        <v>0</v>
      </c>
      <c r="T144" s="357">
        <f t="shared" si="59"/>
        <v>0</v>
      </c>
      <c r="U144" s="357">
        <f t="shared" si="59"/>
        <v>0</v>
      </c>
      <c r="V144" s="357">
        <f t="shared" si="59"/>
        <v>0</v>
      </c>
      <c r="W144" s="357">
        <f t="shared" si="59"/>
        <v>0</v>
      </c>
      <c r="X144" s="357">
        <f t="shared" si="59"/>
        <v>0</v>
      </c>
      <c r="Y144" s="357">
        <f t="shared" si="59"/>
        <v>0</v>
      </c>
      <c r="Z144" s="357">
        <f t="shared" si="59"/>
        <v>0</v>
      </c>
      <c r="AA144" s="357">
        <f t="shared" si="59"/>
        <v>0</v>
      </c>
      <c r="AB144" s="357">
        <f t="shared" si="59"/>
        <v>0</v>
      </c>
      <c r="AC144" s="357">
        <f t="shared" si="59"/>
        <v>0</v>
      </c>
      <c r="AD144" s="357">
        <f t="shared" si="59"/>
        <v>0</v>
      </c>
      <c r="AE144" s="357">
        <f t="shared" si="59"/>
        <v>0</v>
      </c>
      <c r="AF144" s="357">
        <f t="shared" si="59"/>
        <v>0</v>
      </c>
      <c r="AG144" s="357">
        <f t="shared" si="59"/>
        <v>0</v>
      </c>
      <c r="AH144" s="357">
        <f t="shared" si="59"/>
        <v>0</v>
      </c>
      <c r="AI144" s="357">
        <f t="shared" si="59"/>
        <v>0</v>
      </c>
    </row>
    <row r="145" spans="2:36" s="357" customFormat="1" ht="12">
      <c r="B145" s="477" t="str">
        <f>B8</f>
        <v>ETE Cafezal</v>
      </c>
      <c r="D145" s="448">
        <f>E48</f>
        <v>2</v>
      </c>
      <c r="E145" s="357">
        <f t="shared" ref="E145:AI145" si="60">IF(AND(E$1&gt;=$E$47,E$1&lt;$E$49),1,0)*$D$8</f>
        <v>0</v>
      </c>
      <c r="F145" s="357">
        <f t="shared" si="60"/>
        <v>0</v>
      </c>
      <c r="G145" s="357">
        <f t="shared" si="60"/>
        <v>0</v>
      </c>
      <c r="H145" s="357">
        <f t="shared" si="60"/>
        <v>0</v>
      </c>
      <c r="I145" s="357">
        <f t="shared" si="60"/>
        <v>0</v>
      </c>
      <c r="J145" s="357">
        <f t="shared" si="60"/>
        <v>0</v>
      </c>
      <c r="K145" s="357">
        <f t="shared" si="60"/>
        <v>0</v>
      </c>
      <c r="L145" s="357">
        <f t="shared" si="60"/>
        <v>0</v>
      </c>
      <c r="M145" s="357">
        <f t="shared" si="60"/>
        <v>0</v>
      </c>
      <c r="N145" s="357">
        <f t="shared" si="60"/>
        <v>0</v>
      </c>
      <c r="O145" s="357">
        <f t="shared" si="60"/>
        <v>0</v>
      </c>
      <c r="P145" s="357">
        <f t="shared" si="60"/>
        <v>0</v>
      </c>
      <c r="Q145" s="357">
        <f t="shared" si="60"/>
        <v>0</v>
      </c>
      <c r="R145" s="357">
        <f t="shared" si="60"/>
        <v>0</v>
      </c>
      <c r="S145" s="357">
        <f t="shared" si="60"/>
        <v>0</v>
      </c>
      <c r="T145" s="357">
        <f t="shared" si="60"/>
        <v>0</v>
      </c>
      <c r="U145" s="357">
        <f t="shared" si="60"/>
        <v>0</v>
      </c>
      <c r="V145" s="357">
        <f t="shared" si="60"/>
        <v>0</v>
      </c>
      <c r="W145" s="357">
        <f t="shared" si="60"/>
        <v>0</v>
      </c>
      <c r="X145" s="357">
        <f t="shared" si="60"/>
        <v>0</v>
      </c>
      <c r="Y145" s="357">
        <f t="shared" si="60"/>
        <v>0</v>
      </c>
      <c r="Z145" s="357">
        <f t="shared" si="60"/>
        <v>0</v>
      </c>
      <c r="AA145" s="357">
        <f t="shared" si="60"/>
        <v>0</v>
      </c>
      <c r="AB145" s="357">
        <f t="shared" si="60"/>
        <v>0</v>
      </c>
      <c r="AC145" s="357">
        <f t="shared" si="60"/>
        <v>0</v>
      </c>
      <c r="AD145" s="357">
        <f t="shared" si="60"/>
        <v>0</v>
      </c>
      <c r="AE145" s="357">
        <f t="shared" si="60"/>
        <v>0</v>
      </c>
      <c r="AF145" s="357">
        <f t="shared" si="60"/>
        <v>0</v>
      </c>
      <c r="AG145" s="357">
        <f t="shared" si="60"/>
        <v>0</v>
      </c>
      <c r="AH145" s="357">
        <f t="shared" si="60"/>
        <v>0</v>
      </c>
      <c r="AI145" s="357">
        <f t="shared" si="60"/>
        <v>0</v>
      </c>
    </row>
    <row r="146" spans="2:36" s="357" customFormat="1" ht="12">
      <c r="B146" s="477" t="str">
        <f>B9</f>
        <v>ETE CIC-Xisto</v>
      </c>
      <c r="D146" s="448">
        <f>F48</f>
        <v>2</v>
      </c>
      <c r="E146" s="357">
        <f t="shared" ref="E146:AI146" si="61">IF(AND(E$1&gt;=$F$47,E$1&lt;$F$49),1,0)*$D$9</f>
        <v>0</v>
      </c>
      <c r="F146" s="357">
        <f t="shared" si="61"/>
        <v>0</v>
      </c>
      <c r="G146" s="357">
        <f t="shared" si="61"/>
        <v>0</v>
      </c>
      <c r="H146" s="357">
        <f t="shared" si="61"/>
        <v>0</v>
      </c>
      <c r="I146" s="357">
        <f t="shared" si="61"/>
        <v>1</v>
      </c>
      <c r="J146" s="357">
        <f t="shared" si="61"/>
        <v>1</v>
      </c>
      <c r="K146" s="357">
        <f t="shared" si="61"/>
        <v>0</v>
      </c>
      <c r="L146" s="357">
        <f t="shared" si="61"/>
        <v>0</v>
      </c>
      <c r="M146" s="357">
        <f t="shared" si="61"/>
        <v>0</v>
      </c>
      <c r="N146" s="357">
        <f t="shared" si="61"/>
        <v>0</v>
      </c>
      <c r="O146" s="357">
        <f t="shared" si="61"/>
        <v>0</v>
      </c>
      <c r="P146" s="357">
        <f t="shared" si="61"/>
        <v>0</v>
      </c>
      <c r="Q146" s="357">
        <f t="shared" si="61"/>
        <v>0</v>
      </c>
      <c r="R146" s="357">
        <f t="shared" si="61"/>
        <v>0</v>
      </c>
      <c r="S146" s="357">
        <f t="shared" si="61"/>
        <v>0</v>
      </c>
      <c r="T146" s="357">
        <f t="shared" si="61"/>
        <v>0</v>
      </c>
      <c r="U146" s="357">
        <f t="shared" si="61"/>
        <v>0</v>
      </c>
      <c r="V146" s="357">
        <f t="shared" si="61"/>
        <v>0</v>
      </c>
      <c r="W146" s="357">
        <f t="shared" si="61"/>
        <v>0</v>
      </c>
      <c r="X146" s="357">
        <f t="shared" si="61"/>
        <v>0</v>
      </c>
      <c r="Y146" s="357">
        <f t="shared" si="61"/>
        <v>0</v>
      </c>
      <c r="Z146" s="357">
        <f t="shared" si="61"/>
        <v>0</v>
      </c>
      <c r="AA146" s="357">
        <f t="shared" si="61"/>
        <v>0</v>
      </c>
      <c r="AB146" s="357">
        <f t="shared" si="61"/>
        <v>0</v>
      </c>
      <c r="AC146" s="357">
        <f t="shared" si="61"/>
        <v>0</v>
      </c>
      <c r="AD146" s="357">
        <f t="shared" si="61"/>
        <v>0</v>
      </c>
      <c r="AE146" s="357">
        <f t="shared" si="61"/>
        <v>0</v>
      </c>
      <c r="AF146" s="357">
        <f t="shared" si="61"/>
        <v>0</v>
      </c>
      <c r="AG146" s="357">
        <f t="shared" si="61"/>
        <v>0</v>
      </c>
      <c r="AH146" s="357">
        <f t="shared" si="61"/>
        <v>0</v>
      </c>
      <c r="AI146" s="357">
        <f t="shared" si="61"/>
        <v>0</v>
      </c>
    </row>
    <row r="147" spans="2:36" s="357" customFormat="1" ht="12">
      <c r="B147" s="477" t="str">
        <f>B10</f>
        <v>ETE Rio Toledo</v>
      </c>
      <c r="D147" s="448">
        <f>G48</f>
        <v>2</v>
      </c>
      <c r="E147" s="357">
        <f t="shared" ref="E147:AI147" si="62">IF(AND(E$1&gt;=$G$47,E$1&lt;$G$49),1,0)*$D$10</f>
        <v>0</v>
      </c>
      <c r="F147" s="357">
        <f t="shared" si="62"/>
        <v>0</v>
      </c>
      <c r="G147" s="357">
        <f t="shared" si="62"/>
        <v>0</v>
      </c>
      <c r="H147" s="357">
        <f t="shared" si="62"/>
        <v>0</v>
      </c>
      <c r="I147" s="357">
        <f t="shared" si="62"/>
        <v>0</v>
      </c>
      <c r="J147" s="357">
        <f t="shared" si="62"/>
        <v>1</v>
      </c>
      <c r="K147" s="357">
        <f t="shared" si="62"/>
        <v>1</v>
      </c>
      <c r="L147" s="357">
        <f t="shared" si="62"/>
        <v>0</v>
      </c>
      <c r="M147" s="357">
        <f t="shared" si="62"/>
        <v>0</v>
      </c>
      <c r="N147" s="357">
        <f t="shared" si="62"/>
        <v>0</v>
      </c>
      <c r="O147" s="357">
        <f t="shared" si="62"/>
        <v>0</v>
      </c>
      <c r="P147" s="357">
        <f t="shared" si="62"/>
        <v>0</v>
      </c>
      <c r="Q147" s="357">
        <f t="shared" si="62"/>
        <v>0</v>
      </c>
      <c r="R147" s="357">
        <f t="shared" si="62"/>
        <v>0</v>
      </c>
      <c r="S147" s="357">
        <f t="shared" si="62"/>
        <v>0</v>
      </c>
      <c r="T147" s="357">
        <f t="shared" si="62"/>
        <v>0</v>
      </c>
      <c r="U147" s="357">
        <f t="shared" si="62"/>
        <v>0</v>
      </c>
      <c r="V147" s="357">
        <f t="shared" si="62"/>
        <v>0</v>
      </c>
      <c r="W147" s="357">
        <f t="shared" si="62"/>
        <v>0</v>
      </c>
      <c r="X147" s="357">
        <f t="shared" si="62"/>
        <v>0</v>
      </c>
      <c r="Y147" s="357">
        <f t="shared" si="62"/>
        <v>0</v>
      </c>
      <c r="Z147" s="357">
        <f t="shared" si="62"/>
        <v>0</v>
      </c>
      <c r="AA147" s="357">
        <f t="shared" si="62"/>
        <v>0</v>
      </c>
      <c r="AB147" s="357">
        <f t="shared" si="62"/>
        <v>0</v>
      </c>
      <c r="AC147" s="357">
        <f t="shared" si="62"/>
        <v>0</v>
      </c>
      <c r="AD147" s="357">
        <f t="shared" si="62"/>
        <v>0</v>
      </c>
      <c r="AE147" s="357">
        <f t="shared" si="62"/>
        <v>0</v>
      </c>
      <c r="AF147" s="357">
        <f t="shared" si="62"/>
        <v>0</v>
      </c>
      <c r="AG147" s="357">
        <f t="shared" si="62"/>
        <v>0</v>
      </c>
      <c r="AH147" s="357">
        <f t="shared" si="62"/>
        <v>0</v>
      </c>
      <c r="AI147" s="357">
        <f t="shared" si="62"/>
        <v>0</v>
      </c>
    </row>
    <row r="148" spans="2:36" s="357" customFormat="1" ht="12">
      <c r="B148" s="477" t="str">
        <f>B11</f>
        <v>ETE Verde</v>
      </c>
      <c r="D148" s="448">
        <f>H48</f>
        <v>2</v>
      </c>
      <c r="E148" s="357">
        <f t="shared" ref="E148:AI148" si="63">IF(AND(E$1&gt;=$H$47,E$1&lt;$H$49),1,0)*$D$11</f>
        <v>0</v>
      </c>
      <c r="F148" s="357">
        <f t="shared" si="63"/>
        <v>0</v>
      </c>
      <c r="G148" s="357">
        <f t="shared" si="63"/>
        <v>0</v>
      </c>
      <c r="H148" s="357">
        <f t="shared" si="63"/>
        <v>0</v>
      </c>
      <c r="I148" s="357">
        <f t="shared" si="63"/>
        <v>0</v>
      </c>
      <c r="J148" s="357">
        <f t="shared" si="63"/>
        <v>0</v>
      </c>
      <c r="K148" s="357">
        <f t="shared" si="63"/>
        <v>1</v>
      </c>
      <c r="L148" s="357">
        <f t="shared" si="63"/>
        <v>1</v>
      </c>
      <c r="M148" s="357">
        <f t="shared" si="63"/>
        <v>0</v>
      </c>
      <c r="N148" s="357">
        <f t="shared" si="63"/>
        <v>0</v>
      </c>
      <c r="O148" s="357">
        <f t="shared" si="63"/>
        <v>0</v>
      </c>
      <c r="P148" s="357">
        <f t="shared" si="63"/>
        <v>0</v>
      </c>
      <c r="Q148" s="357">
        <f t="shared" si="63"/>
        <v>0</v>
      </c>
      <c r="R148" s="357">
        <f t="shared" si="63"/>
        <v>0</v>
      </c>
      <c r="S148" s="357">
        <f t="shared" si="63"/>
        <v>0</v>
      </c>
      <c r="T148" s="357">
        <f t="shared" si="63"/>
        <v>0</v>
      </c>
      <c r="U148" s="357">
        <f t="shared" si="63"/>
        <v>0</v>
      </c>
      <c r="V148" s="357">
        <f t="shared" si="63"/>
        <v>0</v>
      </c>
      <c r="W148" s="357">
        <f t="shared" si="63"/>
        <v>0</v>
      </c>
      <c r="X148" s="357">
        <f t="shared" si="63"/>
        <v>0</v>
      </c>
      <c r="Y148" s="357">
        <f t="shared" si="63"/>
        <v>0</v>
      </c>
      <c r="Z148" s="357">
        <f t="shared" si="63"/>
        <v>0</v>
      </c>
      <c r="AA148" s="357">
        <f t="shared" si="63"/>
        <v>0</v>
      </c>
      <c r="AB148" s="357">
        <f t="shared" si="63"/>
        <v>0</v>
      </c>
      <c r="AC148" s="357">
        <f t="shared" si="63"/>
        <v>0</v>
      </c>
      <c r="AD148" s="357">
        <f t="shared" si="63"/>
        <v>0</v>
      </c>
      <c r="AE148" s="357">
        <f t="shared" si="63"/>
        <v>0</v>
      </c>
      <c r="AF148" s="357">
        <f t="shared" si="63"/>
        <v>0</v>
      </c>
      <c r="AG148" s="357">
        <f t="shared" si="63"/>
        <v>0</v>
      </c>
      <c r="AH148" s="357">
        <f t="shared" si="63"/>
        <v>0</v>
      </c>
      <c r="AI148" s="357">
        <f t="shared" si="63"/>
        <v>0</v>
      </c>
    </row>
    <row r="149" spans="2:36" s="357" customFormat="1" ht="12">
      <c r="D149" s="448"/>
    </row>
    <row r="150" spans="2:36" s="357" customFormat="1" ht="12">
      <c r="B150" s="450" t="s">
        <v>463</v>
      </c>
      <c r="D150" s="448"/>
      <c r="E150" s="357">
        <f>IF(SUM(E153:E157)&gt;=1,1,0)</f>
        <v>0</v>
      </c>
      <c r="F150" s="357">
        <f t="shared" ref="F150:AI150" si="64">IF(SUM(F153:F157)&gt;=1,1,0)</f>
        <v>0</v>
      </c>
      <c r="G150" s="357">
        <f t="shared" si="64"/>
        <v>0</v>
      </c>
      <c r="H150" s="357">
        <f t="shared" si="64"/>
        <v>1</v>
      </c>
      <c r="I150" s="357">
        <f t="shared" si="64"/>
        <v>1</v>
      </c>
      <c r="J150" s="357">
        <f t="shared" si="64"/>
        <v>1</v>
      </c>
      <c r="K150" s="357">
        <f t="shared" si="64"/>
        <v>1</v>
      </c>
      <c r="L150" s="357">
        <f t="shared" si="64"/>
        <v>1</v>
      </c>
      <c r="M150" s="357">
        <f t="shared" si="64"/>
        <v>1</v>
      </c>
      <c r="N150" s="357">
        <f t="shared" si="64"/>
        <v>1</v>
      </c>
      <c r="O150" s="357">
        <f t="shared" si="64"/>
        <v>1</v>
      </c>
      <c r="P150" s="357">
        <f t="shared" si="64"/>
        <v>1</v>
      </c>
      <c r="Q150" s="357">
        <f t="shared" si="64"/>
        <v>1</v>
      </c>
      <c r="R150" s="357">
        <f t="shared" si="64"/>
        <v>1</v>
      </c>
      <c r="S150" s="357">
        <f t="shared" si="64"/>
        <v>1</v>
      </c>
      <c r="T150" s="357">
        <f t="shared" si="64"/>
        <v>1</v>
      </c>
      <c r="U150" s="357">
        <f t="shared" si="64"/>
        <v>1</v>
      </c>
      <c r="V150" s="357">
        <f t="shared" si="64"/>
        <v>1</v>
      </c>
      <c r="W150" s="357">
        <f t="shared" si="64"/>
        <v>1</v>
      </c>
      <c r="X150" s="357">
        <f t="shared" si="64"/>
        <v>1</v>
      </c>
      <c r="Y150" s="357">
        <f t="shared" si="64"/>
        <v>1</v>
      </c>
      <c r="Z150" s="357">
        <f t="shared" si="64"/>
        <v>1</v>
      </c>
      <c r="AA150" s="357">
        <f t="shared" si="64"/>
        <v>1</v>
      </c>
      <c r="AB150" s="357">
        <f t="shared" si="64"/>
        <v>1</v>
      </c>
      <c r="AC150" s="357">
        <f t="shared" si="64"/>
        <v>1</v>
      </c>
      <c r="AD150" s="357">
        <f t="shared" si="64"/>
        <v>1</v>
      </c>
      <c r="AE150" s="357">
        <f t="shared" si="64"/>
        <v>1</v>
      </c>
      <c r="AF150" s="357">
        <f t="shared" si="64"/>
        <v>1</v>
      </c>
      <c r="AG150" s="357">
        <f t="shared" si="64"/>
        <v>1</v>
      </c>
      <c r="AH150" s="357">
        <f t="shared" si="64"/>
        <v>1</v>
      </c>
      <c r="AI150" s="357">
        <f t="shared" si="64"/>
        <v>1</v>
      </c>
    </row>
    <row r="151" spans="2:36" s="357" customFormat="1" ht="12">
      <c r="D151" s="448"/>
    </row>
    <row r="152" spans="2:36" s="357" customFormat="1" ht="12">
      <c r="B152" s="450" t="s">
        <v>387</v>
      </c>
      <c r="D152" s="448"/>
    </row>
    <row r="153" spans="2:36" s="357" customFormat="1" ht="12">
      <c r="B153" s="381" t="str">
        <f>B7</f>
        <v>ETE Atuba Sul</v>
      </c>
      <c r="D153" s="448">
        <f>SUM(E153:AI153)</f>
        <v>28</v>
      </c>
      <c r="E153" s="497">
        <f t="shared" ref="E153:AI153" si="65">IF(E$1&gt;=$D$49,1,0)*$D$7</f>
        <v>0</v>
      </c>
      <c r="F153" s="497">
        <f t="shared" si="65"/>
        <v>0</v>
      </c>
      <c r="G153" s="497">
        <f t="shared" si="65"/>
        <v>0</v>
      </c>
      <c r="H153" s="497">
        <f t="shared" si="65"/>
        <v>1</v>
      </c>
      <c r="I153" s="497">
        <f t="shared" si="65"/>
        <v>1</v>
      </c>
      <c r="J153" s="497">
        <f t="shared" si="65"/>
        <v>1</v>
      </c>
      <c r="K153" s="497">
        <f t="shared" si="65"/>
        <v>1</v>
      </c>
      <c r="L153" s="497">
        <f t="shared" si="65"/>
        <v>1</v>
      </c>
      <c r="M153" s="497">
        <f t="shared" si="65"/>
        <v>1</v>
      </c>
      <c r="N153" s="497">
        <f t="shared" si="65"/>
        <v>1</v>
      </c>
      <c r="O153" s="497">
        <f t="shared" si="65"/>
        <v>1</v>
      </c>
      <c r="P153" s="497">
        <f t="shared" si="65"/>
        <v>1</v>
      </c>
      <c r="Q153" s="497">
        <f t="shared" si="65"/>
        <v>1</v>
      </c>
      <c r="R153" s="497">
        <f t="shared" si="65"/>
        <v>1</v>
      </c>
      <c r="S153" s="497">
        <f t="shared" si="65"/>
        <v>1</v>
      </c>
      <c r="T153" s="497">
        <f t="shared" si="65"/>
        <v>1</v>
      </c>
      <c r="U153" s="497">
        <f t="shared" si="65"/>
        <v>1</v>
      </c>
      <c r="V153" s="497">
        <f t="shared" si="65"/>
        <v>1</v>
      </c>
      <c r="W153" s="497">
        <f t="shared" si="65"/>
        <v>1</v>
      </c>
      <c r="X153" s="497">
        <f t="shared" si="65"/>
        <v>1</v>
      </c>
      <c r="Y153" s="497">
        <f t="shared" si="65"/>
        <v>1</v>
      </c>
      <c r="Z153" s="497">
        <f t="shared" si="65"/>
        <v>1</v>
      </c>
      <c r="AA153" s="497">
        <f t="shared" si="65"/>
        <v>1</v>
      </c>
      <c r="AB153" s="497">
        <f t="shared" si="65"/>
        <v>1</v>
      </c>
      <c r="AC153" s="497">
        <f t="shared" si="65"/>
        <v>1</v>
      </c>
      <c r="AD153" s="497">
        <f t="shared" si="65"/>
        <v>1</v>
      </c>
      <c r="AE153" s="497">
        <f t="shared" si="65"/>
        <v>1</v>
      </c>
      <c r="AF153" s="497">
        <f t="shared" si="65"/>
        <v>1</v>
      </c>
      <c r="AG153" s="497">
        <f t="shared" si="65"/>
        <v>1</v>
      </c>
      <c r="AH153" s="497">
        <f t="shared" si="65"/>
        <v>1</v>
      </c>
      <c r="AI153" s="497">
        <f t="shared" si="65"/>
        <v>1</v>
      </c>
    </row>
    <row r="154" spans="2:36" s="357" customFormat="1" ht="12">
      <c r="B154" s="381" t="str">
        <f>B8</f>
        <v>ETE Cafezal</v>
      </c>
      <c r="D154" s="448">
        <f t="shared" ref="D154:D157" si="66">SUM(E154:AI154)</f>
        <v>0</v>
      </c>
      <c r="E154" s="497">
        <f t="shared" ref="E154:AI154" si="67">IF(E$1&gt;=$E$49,1,0)*$D$8</f>
        <v>0</v>
      </c>
      <c r="F154" s="497">
        <f t="shared" si="67"/>
        <v>0</v>
      </c>
      <c r="G154" s="497">
        <f t="shared" si="67"/>
        <v>0</v>
      </c>
      <c r="H154" s="497">
        <f t="shared" si="67"/>
        <v>0</v>
      </c>
      <c r="I154" s="497">
        <f t="shared" si="67"/>
        <v>0</v>
      </c>
      <c r="J154" s="497">
        <f t="shared" si="67"/>
        <v>0</v>
      </c>
      <c r="K154" s="497">
        <f t="shared" si="67"/>
        <v>0</v>
      </c>
      <c r="L154" s="497">
        <f t="shared" si="67"/>
        <v>0</v>
      </c>
      <c r="M154" s="497">
        <f t="shared" si="67"/>
        <v>0</v>
      </c>
      <c r="N154" s="497">
        <f t="shared" si="67"/>
        <v>0</v>
      </c>
      <c r="O154" s="497">
        <f t="shared" si="67"/>
        <v>0</v>
      </c>
      <c r="P154" s="497">
        <f t="shared" si="67"/>
        <v>0</v>
      </c>
      <c r="Q154" s="497">
        <f t="shared" si="67"/>
        <v>0</v>
      </c>
      <c r="R154" s="497">
        <f t="shared" si="67"/>
        <v>0</v>
      </c>
      <c r="S154" s="497">
        <f t="shared" si="67"/>
        <v>0</v>
      </c>
      <c r="T154" s="497">
        <f t="shared" si="67"/>
        <v>0</v>
      </c>
      <c r="U154" s="497">
        <f t="shared" si="67"/>
        <v>0</v>
      </c>
      <c r="V154" s="497">
        <f t="shared" si="67"/>
        <v>0</v>
      </c>
      <c r="W154" s="497">
        <f t="shared" si="67"/>
        <v>0</v>
      </c>
      <c r="X154" s="497">
        <f t="shared" si="67"/>
        <v>0</v>
      </c>
      <c r="Y154" s="497">
        <f t="shared" si="67"/>
        <v>0</v>
      </c>
      <c r="Z154" s="497">
        <f t="shared" si="67"/>
        <v>0</v>
      </c>
      <c r="AA154" s="497">
        <f t="shared" si="67"/>
        <v>0</v>
      </c>
      <c r="AB154" s="497">
        <f t="shared" si="67"/>
        <v>0</v>
      </c>
      <c r="AC154" s="497">
        <f t="shared" si="67"/>
        <v>0</v>
      </c>
      <c r="AD154" s="497">
        <f t="shared" si="67"/>
        <v>0</v>
      </c>
      <c r="AE154" s="497">
        <f t="shared" si="67"/>
        <v>0</v>
      </c>
      <c r="AF154" s="497">
        <f t="shared" si="67"/>
        <v>0</v>
      </c>
      <c r="AG154" s="497">
        <f t="shared" si="67"/>
        <v>0</v>
      </c>
      <c r="AH154" s="497">
        <f t="shared" si="67"/>
        <v>0</v>
      </c>
      <c r="AI154" s="497">
        <f t="shared" si="67"/>
        <v>0</v>
      </c>
      <c r="AJ154" s="497"/>
    </row>
    <row r="155" spans="2:36" s="357" customFormat="1" ht="12">
      <c r="B155" s="381" t="str">
        <f>B9</f>
        <v>ETE CIC-Xisto</v>
      </c>
      <c r="D155" s="448">
        <f t="shared" si="66"/>
        <v>25</v>
      </c>
      <c r="E155" s="497">
        <f t="shared" ref="E155:AI155" si="68">IF(E$1&gt;=$F$49,1,0)*$D$9</f>
        <v>0</v>
      </c>
      <c r="F155" s="497">
        <f t="shared" si="68"/>
        <v>0</v>
      </c>
      <c r="G155" s="497">
        <f t="shared" si="68"/>
        <v>0</v>
      </c>
      <c r="H155" s="497">
        <f t="shared" si="68"/>
        <v>0</v>
      </c>
      <c r="I155" s="497">
        <f t="shared" si="68"/>
        <v>0</v>
      </c>
      <c r="J155" s="497">
        <f t="shared" si="68"/>
        <v>0</v>
      </c>
      <c r="K155" s="497">
        <f t="shared" si="68"/>
        <v>1</v>
      </c>
      <c r="L155" s="497">
        <f t="shared" si="68"/>
        <v>1</v>
      </c>
      <c r="M155" s="497">
        <f t="shared" si="68"/>
        <v>1</v>
      </c>
      <c r="N155" s="497">
        <f t="shared" si="68"/>
        <v>1</v>
      </c>
      <c r="O155" s="497">
        <f t="shared" si="68"/>
        <v>1</v>
      </c>
      <c r="P155" s="497">
        <f t="shared" si="68"/>
        <v>1</v>
      </c>
      <c r="Q155" s="497">
        <f t="shared" si="68"/>
        <v>1</v>
      </c>
      <c r="R155" s="497">
        <f t="shared" si="68"/>
        <v>1</v>
      </c>
      <c r="S155" s="497">
        <f t="shared" si="68"/>
        <v>1</v>
      </c>
      <c r="T155" s="497">
        <f t="shared" si="68"/>
        <v>1</v>
      </c>
      <c r="U155" s="497">
        <f t="shared" si="68"/>
        <v>1</v>
      </c>
      <c r="V155" s="497">
        <f t="shared" si="68"/>
        <v>1</v>
      </c>
      <c r="W155" s="497">
        <f t="shared" si="68"/>
        <v>1</v>
      </c>
      <c r="X155" s="497">
        <f t="shared" si="68"/>
        <v>1</v>
      </c>
      <c r="Y155" s="497">
        <f t="shared" si="68"/>
        <v>1</v>
      </c>
      <c r="Z155" s="497">
        <f t="shared" si="68"/>
        <v>1</v>
      </c>
      <c r="AA155" s="497">
        <f t="shared" si="68"/>
        <v>1</v>
      </c>
      <c r="AB155" s="497">
        <f t="shared" si="68"/>
        <v>1</v>
      </c>
      <c r="AC155" s="497">
        <f t="shared" si="68"/>
        <v>1</v>
      </c>
      <c r="AD155" s="497">
        <f t="shared" si="68"/>
        <v>1</v>
      </c>
      <c r="AE155" s="497">
        <f t="shared" si="68"/>
        <v>1</v>
      </c>
      <c r="AF155" s="497">
        <f t="shared" si="68"/>
        <v>1</v>
      </c>
      <c r="AG155" s="497">
        <f t="shared" si="68"/>
        <v>1</v>
      </c>
      <c r="AH155" s="497">
        <f t="shared" si="68"/>
        <v>1</v>
      </c>
      <c r="AI155" s="497">
        <f t="shared" si="68"/>
        <v>1</v>
      </c>
      <c r="AJ155" s="497"/>
    </row>
    <row r="156" spans="2:36" s="357" customFormat="1" ht="12">
      <c r="B156" s="381" t="str">
        <f>B10</f>
        <v>ETE Rio Toledo</v>
      </c>
      <c r="D156" s="448">
        <f t="shared" si="66"/>
        <v>24</v>
      </c>
      <c r="E156" s="497">
        <f t="shared" ref="E156:AI156" si="69">IF(E$1&gt;=$G$49,1,0)*$D$10</f>
        <v>0</v>
      </c>
      <c r="F156" s="497">
        <f t="shared" si="69"/>
        <v>0</v>
      </c>
      <c r="G156" s="497">
        <f t="shared" si="69"/>
        <v>0</v>
      </c>
      <c r="H156" s="497">
        <f t="shared" si="69"/>
        <v>0</v>
      </c>
      <c r="I156" s="497">
        <f t="shared" si="69"/>
        <v>0</v>
      </c>
      <c r="J156" s="497">
        <f t="shared" si="69"/>
        <v>0</v>
      </c>
      <c r="K156" s="497">
        <f t="shared" si="69"/>
        <v>0</v>
      </c>
      <c r="L156" s="497">
        <f t="shared" si="69"/>
        <v>1</v>
      </c>
      <c r="M156" s="497">
        <f t="shared" si="69"/>
        <v>1</v>
      </c>
      <c r="N156" s="497">
        <f t="shared" si="69"/>
        <v>1</v>
      </c>
      <c r="O156" s="497">
        <f t="shared" si="69"/>
        <v>1</v>
      </c>
      <c r="P156" s="497">
        <f t="shared" si="69"/>
        <v>1</v>
      </c>
      <c r="Q156" s="497">
        <f t="shared" si="69"/>
        <v>1</v>
      </c>
      <c r="R156" s="497">
        <f t="shared" si="69"/>
        <v>1</v>
      </c>
      <c r="S156" s="497">
        <f t="shared" si="69"/>
        <v>1</v>
      </c>
      <c r="T156" s="497">
        <f t="shared" si="69"/>
        <v>1</v>
      </c>
      <c r="U156" s="497">
        <f t="shared" si="69"/>
        <v>1</v>
      </c>
      <c r="V156" s="497">
        <f t="shared" si="69"/>
        <v>1</v>
      </c>
      <c r="W156" s="497">
        <f t="shared" si="69"/>
        <v>1</v>
      </c>
      <c r="X156" s="497">
        <f t="shared" si="69"/>
        <v>1</v>
      </c>
      <c r="Y156" s="497">
        <f t="shared" si="69"/>
        <v>1</v>
      </c>
      <c r="Z156" s="497">
        <f t="shared" si="69"/>
        <v>1</v>
      </c>
      <c r="AA156" s="497">
        <f t="shared" si="69"/>
        <v>1</v>
      </c>
      <c r="AB156" s="497">
        <f t="shared" si="69"/>
        <v>1</v>
      </c>
      <c r="AC156" s="497">
        <f t="shared" si="69"/>
        <v>1</v>
      </c>
      <c r="AD156" s="497">
        <f t="shared" si="69"/>
        <v>1</v>
      </c>
      <c r="AE156" s="497">
        <f t="shared" si="69"/>
        <v>1</v>
      </c>
      <c r="AF156" s="497">
        <f t="shared" si="69"/>
        <v>1</v>
      </c>
      <c r="AG156" s="497">
        <f t="shared" si="69"/>
        <v>1</v>
      </c>
      <c r="AH156" s="497">
        <f t="shared" si="69"/>
        <v>1</v>
      </c>
      <c r="AI156" s="497">
        <f t="shared" si="69"/>
        <v>1</v>
      </c>
      <c r="AJ156" s="497"/>
    </row>
    <row r="157" spans="2:36" s="357" customFormat="1" ht="12">
      <c r="B157" s="381" t="str">
        <f>B11</f>
        <v>ETE Verde</v>
      </c>
      <c r="D157" s="448">
        <f t="shared" si="66"/>
        <v>23</v>
      </c>
      <c r="E157" s="497">
        <f t="shared" ref="E157:AI157" si="70">IF(E$1&gt;=$H$49,1,0)*$D$11</f>
        <v>0</v>
      </c>
      <c r="F157" s="497">
        <f t="shared" si="70"/>
        <v>0</v>
      </c>
      <c r="G157" s="497">
        <f t="shared" si="70"/>
        <v>0</v>
      </c>
      <c r="H157" s="497">
        <f t="shared" si="70"/>
        <v>0</v>
      </c>
      <c r="I157" s="497">
        <f t="shared" si="70"/>
        <v>0</v>
      </c>
      <c r="J157" s="497">
        <f t="shared" si="70"/>
        <v>0</v>
      </c>
      <c r="K157" s="497">
        <f t="shared" si="70"/>
        <v>0</v>
      </c>
      <c r="L157" s="497">
        <f t="shared" si="70"/>
        <v>0</v>
      </c>
      <c r="M157" s="497">
        <f t="shared" si="70"/>
        <v>1</v>
      </c>
      <c r="N157" s="497">
        <f t="shared" si="70"/>
        <v>1</v>
      </c>
      <c r="O157" s="497">
        <f t="shared" si="70"/>
        <v>1</v>
      </c>
      <c r="P157" s="497">
        <f t="shared" si="70"/>
        <v>1</v>
      </c>
      <c r="Q157" s="497">
        <f t="shared" si="70"/>
        <v>1</v>
      </c>
      <c r="R157" s="497">
        <f t="shared" si="70"/>
        <v>1</v>
      </c>
      <c r="S157" s="497">
        <f t="shared" si="70"/>
        <v>1</v>
      </c>
      <c r="T157" s="497">
        <f t="shared" si="70"/>
        <v>1</v>
      </c>
      <c r="U157" s="497">
        <f t="shared" si="70"/>
        <v>1</v>
      </c>
      <c r="V157" s="497">
        <f t="shared" si="70"/>
        <v>1</v>
      </c>
      <c r="W157" s="497">
        <f t="shared" si="70"/>
        <v>1</v>
      </c>
      <c r="X157" s="497">
        <f t="shared" si="70"/>
        <v>1</v>
      </c>
      <c r="Y157" s="497">
        <f t="shared" si="70"/>
        <v>1</v>
      </c>
      <c r="Z157" s="497">
        <f t="shared" si="70"/>
        <v>1</v>
      </c>
      <c r="AA157" s="497">
        <f t="shared" si="70"/>
        <v>1</v>
      </c>
      <c r="AB157" s="497">
        <f t="shared" si="70"/>
        <v>1</v>
      </c>
      <c r="AC157" s="497">
        <f t="shared" si="70"/>
        <v>1</v>
      </c>
      <c r="AD157" s="497">
        <f t="shared" si="70"/>
        <v>1</v>
      </c>
      <c r="AE157" s="497">
        <f t="shared" si="70"/>
        <v>1</v>
      </c>
      <c r="AF157" s="497">
        <f t="shared" si="70"/>
        <v>1</v>
      </c>
      <c r="AG157" s="497">
        <f t="shared" si="70"/>
        <v>1</v>
      </c>
      <c r="AH157" s="497">
        <f t="shared" si="70"/>
        <v>1</v>
      </c>
      <c r="AI157" s="497">
        <f t="shared" si="70"/>
        <v>1</v>
      </c>
      <c r="AJ157" s="497"/>
    </row>
    <row r="158" spans="2:36" s="357" customFormat="1" ht="12">
      <c r="B158" s="477"/>
      <c r="D158" s="448"/>
      <c r="E158" s="497"/>
      <c r="F158" s="497"/>
      <c r="G158" s="497"/>
      <c r="H158" s="497"/>
      <c r="I158" s="497"/>
      <c r="J158" s="497"/>
      <c r="K158" s="497"/>
      <c r="L158" s="497"/>
      <c r="M158" s="497"/>
      <c r="N158" s="497"/>
      <c r="O158" s="497"/>
      <c r="P158" s="497"/>
      <c r="Q158" s="497"/>
      <c r="R158" s="497"/>
      <c r="S158" s="497"/>
      <c r="T158" s="497"/>
      <c r="U158" s="497"/>
      <c r="V158" s="497"/>
      <c r="W158" s="497"/>
      <c r="X158" s="497"/>
      <c r="Y158" s="497"/>
      <c r="Z158" s="497"/>
      <c r="AA158" s="497"/>
      <c r="AB158" s="497"/>
      <c r="AC158" s="497"/>
      <c r="AD158" s="497"/>
      <c r="AE158" s="497"/>
      <c r="AF158" s="497"/>
      <c r="AG158" s="497"/>
      <c r="AH158" s="497"/>
      <c r="AI158" s="497"/>
      <c r="AJ158" s="497"/>
    </row>
    <row r="159" spans="2:36" s="357" customFormat="1" ht="12">
      <c r="B159" s="450" t="s">
        <v>411</v>
      </c>
      <c r="D159" s="448"/>
    </row>
    <row r="160" spans="2:36" s="357" customFormat="1" ht="12">
      <c r="B160" s="477" t="str">
        <f>B153</f>
        <v>ETE Atuba Sul</v>
      </c>
      <c r="D160" s="448"/>
      <c r="F160" s="498">
        <f t="shared" ref="F160:AI160" si="71">(IF(AND(F$1&gt;=$D$49,F$1&lt;$D$52),1/$D$54+E160,1))*$D$14*F153</f>
        <v>0</v>
      </c>
      <c r="G160" s="498">
        <f t="shared" si="71"/>
        <v>0</v>
      </c>
      <c r="H160" s="498">
        <f t="shared" si="71"/>
        <v>0.5</v>
      </c>
      <c r="I160" s="498">
        <f t="shared" si="71"/>
        <v>1</v>
      </c>
      <c r="J160" s="498">
        <f t="shared" si="71"/>
        <v>1</v>
      </c>
      <c r="K160" s="498">
        <f t="shared" si="71"/>
        <v>1</v>
      </c>
      <c r="L160" s="498">
        <f t="shared" si="71"/>
        <v>1</v>
      </c>
      <c r="M160" s="498">
        <f t="shared" si="71"/>
        <v>1</v>
      </c>
      <c r="N160" s="498">
        <f t="shared" si="71"/>
        <v>1</v>
      </c>
      <c r="O160" s="498">
        <f t="shared" si="71"/>
        <v>1</v>
      </c>
      <c r="P160" s="498">
        <f t="shared" si="71"/>
        <v>1</v>
      </c>
      <c r="Q160" s="498">
        <f t="shared" si="71"/>
        <v>1</v>
      </c>
      <c r="R160" s="498">
        <f t="shared" si="71"/>
        <v>1</v>
      </c>
      <c r="S160" s="498">
        <f t="shared" si="71"/>
        <v>1</v>
      </c>
      <c r="T160" s="498">
        <f t="shared" si="71"/>
        <v>1</v>
      </c>
      <c r="U160" s="498">
        <f t="shared" si="71"/>
        <v>1</v>
      </c>
      <c r="V160" s="498">
        <f t="shared" si="71"/>
        <v>1</v>
      </c>
      <c r="W160" s="498">
        <f t="shared" si="71"/>
        <v>1</v>
      </c>
      <c r="X160" s="498">
        <f t="shared" si="71"/>
        <v>1</v>
      </c>
      <c r="Y160" s="498">
        <f t="shared" si="71"/>
        <v>1</v>
      </c>
      <c r="Z160" s="498">
        <f t="shared" si="71"/>
        <v>1</v>
      </c>
      <c r="AA160" s="498">
        <f t="shared" si="71"/>
        <v>1</v>
      </c>
      <c r="AB160" s="498">
        <f t="shared" si="71"/>
        <v>1</v>
      </c>
      <c r="AC160" s="498">
        <f t="shared" si="71"/>
        <v>1</v>
      </c>
      <c r="AD160" s="498">
        <f t="shared" si="71"/>
        <v>1</v>
      </c>
      <c r="AE160" s="498">
        <f t="shared" si="71"/>
        <v>1</v>
      </c>
      <c r="AF160" s="498">
        <f t="shared" si="71"/>
        <v>1</v>
      </c>
      <c r="AG160" s="498">
        <f t="shared" si="71"/>
        <v>1</v>
      </c>
      <c r="AH160" s="498">
        <f t="shared" si="71"/>
        <v>1</v>
      </c>
      <c r="AI160" s="498">
        <f t="shared" si="71"/>
        <v>1</v>
      </c>
    </row>
    <row r="161" spans="2:36" s="357" customFormat="1" ht="12">
      <c r="B161" s="477" t="str">
        <f t="shared" ref="B161:B164" si="72">B154</f>
        <v>ETE Cafezal</v>
      </c>
      <c r="D161" s="448"/>
      <c r="F161" s="498">
        <f t="shared" ref="F161:AI161" si="73">(IF(AND(F$1&gt;=$E$49,F$1&lt;$E$52),1/$E$54+E161,1))*$D$14*F154</f>
        <v>0</v>
      </c>
      <c r="G161" s="498">
        <f t="shared" si="73"/>
        <v>0</v>
      </c>
      <c r="H161" s="498">
        <f t="shared" si="73"/>
        <v>0</v>
      </c>
      <c r="I161" s="498">
        <f t="shared" si="73"/>
        <v>0</v>
      </c>
      <c r="J161" s="498">
        <f t="shared" si="73"/>
        <v>0</v>
      </c>
      <c r="K161" s="498">
        <f t="shared" si="73"/>
        <v>0</v>
      </c>
      <c r="L161" s="498">
        <f t="shared" si="73"/>
        <v>0</v>
      </c>
      <c r="M161" s="498">
        <f t="shared" si="73"/>
        <v>0</v>
      </c>
      <c r="N161" s="498">
        <f t="shared" si="73"/>
        <v>0</v>
      </c>
      <c r="O161" s="498">
        <f t="shared" si="73"/>
        <v>0</v>
      </c>
      <c r="P161" s="498">
        <f t="shared" si="73"/>
        <v>0</v>
      </c>
      <c r="Q161" s="498">
        <f t="shared" si="73"/>
        <v>0</v>
      </c>
      <c r="R161" s="498">
        <f t="shared" si="73"/>
        <v>0</v>
      </c>
      <c r="S161" s="498">
        <f t="shared" si="73"/>
        <v>0</v>
      </c>
      <c r="T161" s="498">
        <f t="shared" si="73"/>
        <v>0</v>
      </c>
      <c r="U161" s="498">
        <f t="shared" si="73"/>
        <v>0</v>
      </c>
      <c r="V161" s="498">
        <f t="shared" si="73"/>
        <v>0</v>
      </c>
      <c r="W161" s="498">
        <f t="shared" si="73"/>
        <v>0</v>
      </c>
      <c r="X161" s="498">
        <f t="shared" si="73"/>
        <v>0</v>
      </c>
      <c r="Y161" s="498">
        <f t="shared" si="73"/>
        <v>0</v>
      </c>
      <c r="Z161" s="498">
        <f t="shared" si="73"/>
        <v>0</v>
      </c>
      <c r="AA161" s="498">
        <f t="shared" si="73"/>
        <v>0</v>
      </c>
      <c r="AB161" s="498">
        <f t="shared" si="73"/>
        <v>0</v>
      </c>
      <c r="AC161" s="498">
        <f t="shared" si="73"/>
        <v>0</v>
      </c>
      <c r="AD161" s="498">
        <f t="shared" si="73"/>
        <v>0</v>
      </c>
      <c r="AE161" s="498">
        <f t="shared" si="73"/>
        <v>0</v>
      </c>
      <c r="AF161" s="498">
        <f t="shared" si="73"/>
        <v>0</v>
      </c>
      <c r="AG161" s="498">
        <f t="shared" si="73"/>
        <v>0</v>
      </c>
      <c r="AH161" s="498">
        <f t="shared" si="73"/>
        <v>0</v>
      </c>
      <c r="AI161" s="498">
        <f t="shared" si="73"/>
        <v>0</v>
      </c>
    </row>
    <row r="162" spans="2:36" s="357" customFormat="1" ht="12">
      <c r="B162" s="477" t="str">
        <f t="shared" si="72"/>
        <v>ETE CIC-Xisto</v>
      </c>
      <c r="D162" s="448"/>
      <c r="F162" s="498">
        <f t="shared" ref="F162:AI162" si="74">(IF(AND(F$1&gt;=$F$49,F$1&lt;$F$52),1/$F$54+E162,1))*$D$14*F155</f>
        <v>0</v>
      </c>
      <c r="G162" s="498">
        <f t="shared" si="74"/>
        <v>0</v>
      </c>
      <c r="H162" s="498">
        <f t="shared" si="74"/>
        <v>0</v>
      </c>
      <c r="I162" s="498">
        <f t="shared" si="74"/>
        <v>0</v>
      </c>
      <c r="J162" s="498">
        <f t="shared" si="74"/>
        <v>0</v>
      </c>
      <c r="K162" s="498">
        <f t="shared" si="74"/>
        <v>0.5</v>
      </c>
      <c r="L162" s="498">
        <f t="shared" si="74"/>
        <v>1</v>
      </c>
      <c r="M162" s="498">
        <f t="shared" si="74"/>
        <v>1</v>
      </c>
      <c r="N162" s="498">
        <f t="shared" si="74"/>
        <v>1</v>
      </c>
      <c r="O162" s="498">
        <f t="shared" si="74"/>
        <v>1</v>
      </c>
      <c r="P162" s="498">
        <f t="shared" si="74"/>
        <v>1</v>
      </c>
      <c r="Q162" s="498">
        <f t="shared" si="74"/>
        <v>1</v>
      </c>
      <c r="R162" s="498">
        <f t="shared" si="74"/>
        <v>1</v>
      </c>
      <c r="S162" s="498">
        <f t="shared" si="74"/>
        <v>1</v>
      </c>
      <c r="T162" s="498">
        <f t="shared" si="74"/>
        <v>1</v>
      </c>
      <c r="U162" s="498">
        <f t="shared" si="74"/>
        <v>1</v>
      </c>
      <c r="V162" s="498">
        <f t="shared" si="74"/>
        <v>1</v>
      </c>
      <c r="W162" s="498">
        <f t="shared" si="74"/>
        <v>1</v>
      </c>
      <c r="X162" s="498">
        <f t="shared" si="74"/>
        <v>1</v>
      </c>
      <c r="Y162" s="498">
        <f t="shared" si="74"/>
        <v>1</v>
      </c>
      <c r="Z162" s="498">
        <f t="shared" si="74"/>
        <v>1</v>
      </c>
      <c r="AA162" s="498">
        <f t="shared" si="74"/>
        <v>1</v>
      </c>
      <c r="AB162" s="498">
        <f t="shared" si="74"/>
        <v>1</v>
      </c>
      <c r="AC162" s="498">
        <f t="shared" si="74"/>
        <v>1</v>
      </c>
      <c r="AD162" s="498">
        <f t="shared" si="74"/>
        <v>1</v>
      </c>
      <c r="AE162" s="498">
        <f t="shared" si="74"/>
        <v>1</v>
      </c>
      <c r="AF162" s="498">
        <f t="shared" si="74"/>
        <v>1</v>
      </c>
      <c r="AG162" s="498">
        <f t="shared" si="74"/>
        <v>1</v>
      </c>
      <c r="AH162" s="498">
        <f t="shared" si="74"/>
        <v>1</v>
      </c>
      <c r="AI162" s="498">
        <f t="shared" si="74"/>
        <v>1</v>
      </c>
    </row>
    <row r="163" spans="2:36" s="357" customFormat="1" ht="12">
      <c r="B163" s="477" t="str">
        <f t="shared" si="72"/>
        <v>ETE Rio Toledo</v>
      </c>
      <c r="D163" s="448"/>
      <c r="F163" s="498">
        <f t="shared" ref="F163:AI163" si="75">(IF(AND(F$1&gt;=$G$49,F$1&lt;$G$52),1/$G$54+E163,1))*$D$14*F156</f>
        <v>0</v>
      </c>
      <c r="G163" s="498">
        <f t="shared" si="75"/>
        <v>0</v>
      </c>
      <c r="H163" s="498">
        <f t="shared" si="75"/>
        <v>0</v>
      </c>
      <c r="I163" s="498">
        <f t="shared" si="75"/>
        <v>0</v>
      </c>
      <c r="J163" s="498">
        <f t="shared" si="75"/>
        <v>0</v>
      </c>
      <c r="K163" s="498">
        <f t="shared" si="75"/>
        <v>0</v>
      </c>
      <c r="L163" s="498">
        <f t="shared" si="75"/>
        <v>0.5</v>
      </c>
      <c r="M163" s="498">
        <f t="shared" si="75"/>
        <v>1</v>
      </c>
      <c r="N163" s="498">
        <f t="shared" si="75"/>
        <v>1</v>
      </c>
      <c r="O163" s="498">
        <f t="shared" si="75"/>
        <v>1</v>
      </c>
      <c r="P163" s="498">
        <f t="shared" si="75"/>
        <v>1</v>
      </c>
      <c r="Q163" s="498">
        <f t="shared" si="75"/>
        <v>1</v>
      </c>
      <c r="R163" s="498">
        <f t="shared" si="75"/>
        <v>1</v>
      </c>
      <c r="S163" s="498">
        <f t="shared" si="75"/>
        <v>1</v>
      </c>
      <c r="T163" s="498">
        <f t="shared" si="75"/>
        <v>1</v>
      </c>
      <c r="U163" s="498">
        <f t="shared" si="75"/>
        <v>1</v>
      </c>
      <c r="V163" s="498">
        <f t="shared" si="75"/>
        <v>1</v>
      </c>
      <c r="W163" s="498">
        <f t="shared" si="75"/>
        <v>1</v>
      </c>
      <c r="X163" s="498">
        <f t="shared" si="75"/>
        <v>1</v>
      </c>
      <c r="Y163" s="498">
        <f t="shared" si="75"/>
        <v>1</v>
      </c>
      <c r="Z163" s="498">
        <f t="shared" si="75"/>
        <v>1</v>
      </c>
      <c r="AA163" s="498">
        <f t="shared" si="75"/>
        <v>1</v>
      </c>
      <c r="AB163" s="498">
        <f t="shared" si="75"/>
        <v>1</v>
      </c>
      <c r="AC163" s="498">
        <f t="shared" si="75"/>
        <v>1</v>
      </c>
      <c r="AD163" s="498">
        <f t="shared" si="75"/>
        <v>1</v>
      </c>
      <c r="AE163" s="498">
        <f t="shared" si="75"/>
        <v>1</v>
      </c>
      <c r="AF163" s="498">
        <f t="shared" si="75"/>
        <v>1</v>
      </c>
      <c r="AG163" s="498">
        <f t="shared" si="75"/>
        <v>1</v>
      </c>
      <c r="AH163" s="498">
        <f t="shared" si="75"/>
        <v>1</v>
      </c>
      <c r="AI163" s="498">
        <f t="shared" si="75"/>
        <v>1</v>
      </c>
      <c r="AJ163" s="498"/>
    </row>
    <row r="164" spans="2:36" s="357" customFormat="1" ht="12">
      <c r="B164" s="477" t="str">
        <f t="shared" si="72"/>
        <v>ETE Verde</v>
      </c>
      <c r="D164" s="448"/>
      <c r="F164" s="498">
        <f t="shared" ref="F164:AI164" si="76">(IF(AND(F$1&gt;=$H$49,F$1&lt;$H$52),1/$H$54+E164,1))*$D$14*F157</f>
        <v>0</v>
      </c>
      <c r="G164" s="498">
        <f t="shared" si="76"/>
        <v>0</v>
      </c>
      <c r="H164" s="498">
        <f t="shared" si="76"/>
        <v>0</v>
      </c>
      <c r="I164" s="498">
        <f t="shared" si="76"/>
        <v>0</v>
      </c>
      <c r="J164" s="498">
        <f t="shared" si="76"/>
        <v>0</v>
      </c>
      <c r="K164" s="498">
        <f t="shared" si="76"/>
        <v>0</v>
      </c>
      <c r="L164" s="498">
        <f t="shared" si="76"/>
        <v>0</v>
      </c>
      <c r="M164" s="498">
        <f t="shared" si="76"/>
        <v>0.5</v>
      </c>
      <c r="N164" s="498">
        <f t="shared" si="76"/>
        <v>1</v>
      </c>
      <c r="O164" s="498">
        <f t="shared" si="76"/>
        <v>1</v>
      </c>
      <c r="P164" s="498">
        <f t="shared" si="76"/>
        <v>1</v>
      </c>
      <c r="Q164" s="498">
        <f t="shared" si="76"/>
        <v>1</v>
      </c>
      <c r="R164" s="498">
        <f t="shared" si="76"/>
        <v>1</v>
      </c>
      <c r="S164" s="498">
        <f t="shared" si="76"/>
        <v>1</v>
      </c>
      <c r="T164" s="498">
        <f t="shared" si="76"/>
        <v>1</v>
      </c>
      <c r="U164" s="498">
        <f t="shared" si="76"/>
        <v>1</v>
      </c>
      <c r="V164" s="498">
        <f t="shared" si="76"/>
        <v>1</v>
      </c>
      <c r="W164" s="498">
        <f t="shared" si="76"/>
        <v>1</v>
      </c>
      <c r="X164" s="498">
        <f t="shared" si="76"/>
        <v>1</v>
      </c>
      <c r="Y164" s="498">
        <f t="shared" si="76"/>
        <v>1</v>
      </c>
      <c r="Z164" s="498">
        <f t="shared" si="76"/>
        <v>1</v>
      </c>
      <c r="AA164" s="498">
        <f t="shared" si="76"/>
        <v>1</v>
      </c>
      <c r="AB164" s="498">
        <f t="shared" si="76"/>
        <v>1</v>
      </c>
      <c r="AC164" s="498">
        <f t="shared" si="76"/>
        <v>1</v>
      </c>
      <c r="AD164" s="498">
        <f t="shared" si="76"/>
        <v>1</v>
      </c>
      <c r="AE164" s="498">
        <f t="shared" si="76"/>
        <v>1</v>
      </c>
      <c r="AF164" s="498">
        <f t="shared" si="76"/>
        <v>1</v>
      </c>
      <c r="AG164" s="498">
        <f t="shared" si="76"/>
        <v>1</v>
      </c>
      <c r="AH164" s="498">
        <f t="shared" si="76"/>
        <v>1</v>
      </c>
      <c r="AI164" s="498">
        <f t="shared" si="76"/>
        <v>1</v>
      </c>
    </row>
    <row r="165" spans="2:36" s="357" customFormat="1" ht="12">
      <c r="B165" s="477"/>
      <c r="D165" s="448"/>
      <c r="E165" s="497"/>
      <c r="F165" s="497"/>
      <c r="G165" s="497"/>
      <c r="H165" s="497"/>
      <c r="I165" s="497"/>
      <c r="J165" s="497"/>
      <c r="K165" s="497"/>
      <c r="L165" s="497"/>
      <c r="M165" s="497"/>
      <c r="N165" s="497"/>
      <c r="O165" s="497"/>
      <c r="P165" s="497"/>
      <c r="Q165" s="497"/>
      <c r="R165" s="497"/>
      <c r="S165" s="497"/>
      <c r="T165" s="497"/>
      <c r="U165" s="497"/>
      <c r="V165" s="497"/>
      <c r="W165" s="497"/>
      <c r="X165" s="497"/>
      <c r="Y165" s="497"/>
      <c r="Z165" s="497"/>
      <c r="AA165" s="497"/>
      <c r="AB165" s="497"/>
      <c r="AC165" s="497"/>
      <c r="AD165" s="497"/>
      <c r="AE165" s="497"/>
      <c r="AF165" s="497"/>
      <c r="AG165" s="497"/>
      <c r="AH165" s="497"/>
      <c r="AI165" s="497"/>
      <c r="AJ165" s="497"/>
    </row>
    <row r="166" spans="2:36" s="357" customFormat="1" ht="12">
      <c r="B166" s="450" t="s">
        <v>412</v>
      </c>
      <c r="D166" s="448"/>
      <c r="E166" s="497"/>
      <c r="F166" s="497"/>
      <c r="G166" s="497"/>
      <c r="H166" s="497"/>
      <c r="I166" s="497"/>
      <c r="J166" s="497"/>
      <c r="K166" s="497"/>
      <c r="L166" s="497"/>
      <c r="M166" s="497"/>
      <c r="N166" s="497"/>
      <c r="O166" s="497"/>
      <c r="P166" s="497"/>
      <c r="Q166" s="497"/>
      <c r="R166" s="497"/>
      <c r="S166" s="497"/>
      <c r="T166" s="497"/>
      <c r="U166" s="497"/>
      <c r="V166" s="497"/>
      <c r="W166" s="497"/>
      <c r="X166" s="497"/>
      <c r="Y166" s="497"/>
      <c r="Z166" s="497"/>
      <c r="AA166" s="497"/>
      <c r="AB166" s="497"/>
      <c r="AC166" s="497"/>
      <c r="AD166" s="497"/>
      <c r="AE166" s="497"/>
      <c r="AF166" s="497"/>
      <c r="AG166" s="497"/>
      <c r="AH166" s="497"/>
      <c r="AI166" s="497"/>
      <c r="AJ166" s="497"/>
    </row>
    <row r="167" spans="2:36" s="357" customFormat="1" ht="12">
      <c r="B167" s="477" t="str">
        <f>B160</f>
        <v>ETE Atuba Sul</v>
      </c>
      <c r="D167" s="448"/>
      <c r="E167" s="497"/>
      <c r="F167" s="498">
        <f t="shared" ref="F167:AI167" si="77">(IF(AND(F$1&gt;=$D$49,F$1&lt;$D$52),1/$D$54+E167,1))*$D$15*F153</f>
        <v>0</v>
      </c>
      <c r="G167" s="498">
        <f t="shared" si="77"/>
        <v>0</v>
      </c>
      <c r="H167" s="498">
        <f t="shared" si="77"/>
        <v>0.5</v>
      </c>
      <c r="I167" s="498">
        <f t="shared" si="77"/>
        <v>1</v>
      </c>
      <c r="J167" s="498">
        <f t="shared" si="77"/>
        <v>1</v>
      </c>
      <c r="K167" s="498">
        <f t="shared" si="77"/>
        <v>1</v>
      </c>
      <c r="L167" s="498">
        <f t="shared" si="77"/>
        <v>1</v>
      </c>
      <c r="M167" s="498">
        <f t="shared" si="77"/>
        <v>1</v>
      </c>
      <c r="N167" s="498">
        <f t="shared" si="77"/>
        <v>1</v>
      </c>
      <c r="O167" s="498">
        <f t="shared" si="77"/>
        <v>1</v>
      </c>
      <c r="P167" s="498">
        <f t="shared" si="77"/>
        <v>1</v>
      </c>
      <c r="Q167" s="498">
        <f t="shared" si="77"/>
        <v>1</v>
      </c>
      <c r="R167" s="498">
        <f t="shared" si="77"/>
        <v>1</v>
      </c>
      <c r="S167" s="498">
        <f t="shared" si="77"/>
        <v>1</v>
      </c>
      <c r="T167" s="498">
        <f t="shared" si="77"/>
        <v>1</v>
      </c>
      <c r="U167" s="498">
        <f t="shared" si="77"/>
        <v>1</v>
      </c>
      <c r="V167" s="498">
        <f t="shared" si="77"/>
        <v>1</v>
      </c>
      <c r="W167" s="498">
        <f t="shared" si="77"/>
        <v>1</v>
      </c>
      <c r="X167" s="498">
        <f t="shared" si="77"/>
        <v>1</v>
      </c>
      <c r="Y167" s="498">
        <f t="shared" si="77"/>
        <v>1</v>
      </c>
      <c r="Z167" s="498">
        <f t="shared" si="77"/>
        <v>1</v>
      </c>
      <c r="AA167" s="498">
        <f t="shared" si="77"/>
        <v>1</v>
      </c>
      <c r="AB167" s="498">
        <f t="shared" si="77"/>
        <v>1</v>
      </c>
      <c r="AC167" s="498">
        <f t="shared" si="77"/>
        <v>1</v>
      </c>
      <c r="AD167" s="498">
        <f t="shared" si="77"/>
        <v>1</v>
      </c>
      <c r="AE167" s="498">
        <f t="shared" si="77"/>
        <v>1</v>
      </c>
      <c r="AF167" s="498">
        <f t="shared" si="77"/>
        <v>1</v>
      </c>
      <c r="AG167" s="498">
        <f t="shared" si="77"/>
        <v>1</v>
      </c>
      <c r="AH167" s="498">
        <f t="shared" si="77"/>
        <v>1</v>
      </c>
      <c r="AI167" s="498">
        <f t="shared" si="77"/>
        <v>1</v>
      </c>
      <c r="AJ167" s="498"/>
    </row>
    <row r="168" spans="2:36" s="357" customFormat="1" ht="12">
      <c r="B168" s="477" t="str">
        <f t="shared" ref="B168:B171" si="78">B161</f>
        <v>ETE Cafezal</v>
      </c>
      <c r="D168" s="448"/>
      <c r="E168" s="497"/>
      <c r="F168" s="498">
        <f t="shared" ref="F168:AI168" si="79">(IF(AND(F$1&gt;=$E$49,F$1&lt;$E$52),1/$E$54+E168,1))*$D$15*F154</f>
        <v>0</v>
      </c>
      <c r="G168" s="498">
        <f t="shared" si="79"/>
        <v>0</v>
      </c>
      <c r="H168" s="498">
        <f t="shared" si="79"/>
        <v>0</v>
      </c>
      <c r="I168" s="498">
        <f t="shared" si="79"/>
        <v>0</v>
      </c>
      <c r="J168" s="498">
        <f t="shared" si="79"/>
        <v>0</v>
      </c>
      <c r="K168" s="498">
        <f t="shared" si="79"/>
        <v>0</v>
      </c>
      <c r="L168" s="498">
        <f t="shared" si="79"/>
        <v>0</v>
      </c>
      <c r="M168" s="498">
        <f t="shared" si="79"/>
        <v>0</v>
      </c>
      <c r="N168" s="498">
        <f t="shared" si="79"/>
        <v>0</v>
      </c>
      <c r="O168" s="498">
        <f t="shared" si="79"/>
        <v>0</v>
      </c>
      <c r="P168" s="498">
        <f t="shared" si="79"/>
        <v>0</v>
      </c>
      <c r="Q168" s="498">
        <f t="shared" si="79"/>
        <v>0</v>
      </c>
      <c r="R168" s="498">
        <f t="shared" si="79"/>
        <v>0</v>
      </c>
      <c r="S168" s="498">
        <f t="shared" si="79"/>
        <v>0</v>
      </c>
      <c r="T168" s="498">
        <f t="shared" si="79"/>
        <v>0</v>
      </c>
      <c r="U168" s="498">
        <f t="shared" si="79"/>
        <v>0</v>
      </c>
      <c r="V168" s="498">
        <f t="shared" si="79"/>
        <v>0</v>
      </c>
      <c r="W168" s="498">
        <f t="shared" si="79"/>
        <v>0</v>
      </c>
      <c r="X168" s="498">
        <f t="shared" si="79"/>
        <v>0</v>
      </c>
      <c r="Y168" s="498">
        <f t="shared" si="79"/>
        <v>0</v>
      </c>
      <c r="Z168" s="498">
        <f t="shared" si="79"/>
        <v>0</v>
      </c>
      <c r="AA168" s="498">
        <f t="shared" si="79"/>
        <v>0</v>
      </c>
      <c r="AB168" s="498">
        <f t="shared" si="79"/>
        <v>0</v>
      </c>
      <c r="AC168" s="498">
        <f t="shared" si="79"/>
        <v>0</v>
      </c>
      <c r="AD168" s="498">
        <f t="shared" si="79"/>
        <v>0</v>
      </c>
      <c r="AE168" s="498">
        <f t="shared" si="79"/>
        <v>0</v>
      </c>
      <c r="AF168" s="498">
        <f t="shared" si="79"/>
        <v>0</v>
      </c>
      <c r="AG168" s="498">
        <f t="shared" si="79"/>
        <v>0</v>
      </c>
      <c r="AH168" s="498">
        <f t="shared" si="79"/>
        <v>0</v>
      </c>
      <c r="AI168" s="498">
        <f t="shared" si="79"/>
        <v>0</v>
      </c>
      <c r="AJ168" s="498"/>
    </row>
    <row r="169" spans="2:36" s="357" customFormat="1" ht="12">
      <c r="B169" s="477" t="str">
        <f t="shared" si="78"/>
        <v>ETE CIC-Xisto</v>
      </c>
      <c r="D169" s="448"/>
      <c r="E169" s="497"/>
      <c r="F169" s="498">
        <f t="shared" ref="F169:AI169" si="80">(IF(AND(F$1&gt;=$F$49,F$1&lt;$F$52),1/$F$54+E169,1))*$D$15*F155</f>
        <v>0</v>
      </c>
      <c r="G169" s="498">
        <f t="shared" si="80"/>
        <v>0</v>
      </c>
      <c r="H169" s="498">
        <f t="shared" si="80"/>
        <v>0</v>
      </c>
      <c r="I169" s="498">
        <f t="shared" si="80"/>
        <v>0</v>
      </c>
      <c r="J169" s="498">
        <f t="shared" si="80"/>
        <v>0</v>
      </c>
      <c r="K169" s="498">
        <f t="shared" si="80"/>
        <v>0.5</v>
      </c>
      <c r="L169" s="498">
        <f t="shared" si="80"/>
        <v>1</v>
      </c>
      <c r="M169" s="498">
        <f t="shared" si="80"/>
        <v>1</v>
      </c>
      <c r="N169" s="498">
        <f t="shared" si="80"/>
        <v>1</v>
      </c>
      <c r="O169" s="498">
        <f t="shared" si="80"/>
        <v>1</v>
      </c>
      <c r="P169" s="498">
        <f t="shared" si="80"/>
        <v>1</v>
      </c>
      <c r="Q169" s="498">
        <f t="shared" si="80"/>
        <v>1</v>
      </c>
      <c r="R169" s="498">
        <f t="shared" si="80"/>
        <v>1</v>
      </c>
      <c r="S169" s="498">
        <f t="shared" si="80"/>
        <v>1</v>
      </c>
      <c r="T169" s="498">
        <f t="shared" si="80"/>
        <v>1</v>
      </c>
      <c r="U169" s="498">
        <f t="shared" si="80"/>
        <v>1</v>
      </c>
      <c r="V169" s="498">
        <f t="shared" si="80"/>
        <v>1</v>
      </c>
      <c r="W169" s="498">
        <f t="shared" si="80"/>
        <v>1</v>
      </c>
      <c r="X169" s="498">
        <f t="shared" si="80"/>
        <v>1</v>
      </c>
      <c r="Y169" s="498">
        <f t="shared" si="80"/>
        <v>1</v>
      </c>
      <c r="Z169" s="498">
        <f t="shared" si="80"/>
        <v>1</v>
      </c>
      <c r="AA169" s="498">
        <f t="shared" si="80"/>
        <v>1</v>
      </c>
      <c r="AB169" s="498">
        <f t="shared" si="80"/>
        <v>1</v>
      </c>
      <c r="AC169" s="498">
        <f t="shared" si="80"/>
        <v>1</v>
      </c>
      <c r="AD169" s="498">
        <f t="shared" si="80"/>
        <v>1</v>
      </c>
      <c r="AE169" s="498">
        <f t="shared" si="80"/>
        <v>1</v>
      </c>
      <c r="AF169" s="498">
        <f t="shared" si="80"/>
        <v>1</v>
      </c>
      <c r="AG169" s="498">
        <f t="shared" si="80"/>
        <v>1</v>
      </c>
      <c r="AH169" s="498">
        <f t="shared" si="80"/>
        <v>1</v>
      </c>
      <c r="AI169" s="498">
        <f t="shared" si="80"/>
        <v>1</v>
      </c>
      <c r="AJ169" s="498"/>
    </row>
    <row r="170" spans="2:36" s="357" customFormat="1" ht="12">
      <c r="B170" s="477" t="str">
        <f t="shared" si="78"/>
        <v>ETE Rio Toledo</v>
      </c>
      <c r="D170" s="448"/>
      <c r="E170" s="497"/>
      <c r="F170" s="498">
        <f t="shared" ref="F170:AI170" si="81">(IF(AND(F$1&gt;=$G$49,F$1&lt;$G$52),1/$G$54+E170,1))*$D$15*F156</f>
        <v>0</v>
      </c>
      <c r="G170" s="498">
        <f t="shared" si="81"/>
        <v>0</v>
      </c>
      <c r="H170" s="498">
        <f t="shared" si="81"/>
        <v>0</v>
      </c>
      <c r="I170" s="498">
        <f t="shared" si="81"/>
        <v>0</v>
      </c>
      <c r="J170" s="498">
        <f t="shared" si="81"/>
        <v>0</v>
      </c>
      <c r="K170" s="498">
        <f t="shared" si="81"/>
        <v>0</v>
      </c>
      <c r="L170" s="498">
        <f t="shared" si="81"/>
        <v>0.5</v>
      </c>
      <c r="M170" s="498">
        <f t="shared" si="81"/>
        <v>1</v>
      </c>
      <c r="N170" s="498">
        <f t="shared" si="81"/>
        <v>1</v>
      </c>
      <c r="O170" s="498">
        <f t="shared" si="81"/>
        <v>1</v>
      </c>
      <c r="P170" s="498">
        <f t="shared" si="81"/>
        <v>1</v>
      </c>
      <c r="Q170" s="498">
        <f t="shared" si="81"/>
        <v>1</v>
      </c>
      <c r="R170" s="498">
        <f t="shared" si="81"/>
        <v>1</v>
      </c>
      <c r="S170" s="498">
        <f t="shared" si="81"/>
        <v>1</v>
      </c>
      <c r="T170" s="498">
        <f t="shared" si="81"/>
        <v>1</v>
      </c>
      <c r="U170" s="498">
        <f t="shared" si="81"/>
        <v>1</v>
      </c>
      <c r="V170" s="498">
        <f t="shared" si="81"/>
        <v>1</v>
      </c>
      <c r="W170" s="498">
        <f t="shared" si="81"/>
        <v>1</v>
      </c>
      <c r="X170" s="498">
        <f t="shared" si="81"/>
        <v>1</v>
      </c>
      <c r="Y170" s="498">
        <f t="shared" si="81"/>
        <v>1</v>
      </c>
      <c r="Z170" s="498">
        <f t="shared" si="81"/>
        <v>1</v>
      </c>
      <c r="AA170" s="498">
        <f t="shared" si="81"/>
        <v>1</v>
      </c>
      <c r="AB170" s="498">
        <f t="shared" si="81"/>
        <v>1</v>
      </c>
      <c r="AC170" s="498">
        <f t="shared" si="81"/>
        <v>1</v>
      </c>
      <c r="AD170" s="498">
        <f t="shared" si="81"/>
        <v>1</v>
      </c>
      <c r="AE170" s="498">
        <f t="shared" si="81"/>
        <v>1</v>
      </c>
      <c r="AF170" s="498">
        <f t="shared" si="81"/>
        <v>1</v>
      </c>
      <c r="AG170" s="498">
        <f t="shared" si="81"/>
        <v>1</v>
      </c>
      <c r="AH170" s="498">
        <f t="shared" si="81"/>
        <v>1</v>
      </c>
      <c r="AI170" s="498">
        <f t="shared" si="81"/>
        <v>1</v>
      </c>
      <c r="AJ170" s="498"/>
    </row>
    <row r="171" spans="2:36" s="357" customFormat="1" ht="12">
      <c r="B171" s="477" t="str">
        <f t="shared" si="78"/>
        <v>ETE Verde</v>
      </c>
      <c r="D171" s="448"/>
      <c r="E171" s="497"/>
      <c r="F171" s="498">
        <f t="shared" ref="F171:AI171" si="82">(IF(AND(F$1&gt;=$H$49,F$1&lt;$H$52),1/$H$54+E171,1))*$D$15*F157</f>
        <v>0</v>
      </c>
      <c r="G171" s="498">
        <f t="shared" si="82"/>
        <v>0</v>
      </c>
      <c r="H171" s="498">
        <f t="shared" si="82"/>
        <v>0</v>
      </c>
      <c r="I171" s="498">
        <f t="shared" si="82"/>
        <v>0</v>
      </c>
      <c r="J171" s="498">
        <f t="shared" si="82"/>
        <v>0</v>
      </c>
      <c r="K171" s="498">
        <f t="shared" si="82"/>
        <v>0</v>
      </c>
      <c r="L171" s="498">
        <f t="shared" si="82"/>
        <v>0</v>
      </c>
      <c r="M171" s="498">
        <f t="shared" si="82"/>
        <v>0.5</v>
      </c>
      <c r="N171" s="498">
        <f t="shared" si="82"/>
        <v>1</v>
      </c>
      <c r="O171" s="498">
        <f t="shared" si="82"/>
        <v>1</v>
      </c>
      <c r="P171" s="498">
        <f t="shared" si="82"/>
        <v>1</v>
      </c>
      <c r="Q171" s="498">
        <f t="shared" si="82"/>
        <v>1</v>
      </c>
      <c r="R171" s="498">
        <f t="shared" si="82"/>
        <v>1</v>
      </c>
      <c r="S171" s="498">
        <f t="shared" si="82"/>
        <v>1</v>
      </c>
      <c r="T171" s="498">
        <f t="shared" si="82"/>
        <v>1</v>
      </c>
      <c r="U171" s="498">
        <f t="shared" si="82"/>
        <v>1</v>
      </c>
      <c r="V171" s="498">
        <f t="shared" si="82"/>
        <v>1</v>
      </c>
      <c r="W171" s="498">
        <f t="shared" si="82"/>
        <v>1</v>
      </c>
      <c r="X171" s="498">
        <f t="shared" si="82"/>
        <v>1</v>
      </c>
      <c r="Y171" s="498">
        <f t="shared" si="82"/>
        <v>1</v>
      </c>
      <c r="Z171" s="498">
        <f t="shared" si="82"/>
        <v>1</v>
      </c>
      <c r="AA171" s="498">
        <f t="shared" si="82"/>
        <v>1</v>
      </c>
      <c r="AB171" s="498">
        <f t="shared" si="82"/>
        <v>1</v>
      </c>
      <c r="AC171" s="498">
        <f t="shared" si="82"/>
        <v>1</v>
      </c>
      <c r="AD171" s="498">
        <f t="shared" si="82"/>
        <v>1</v>
      </c>
      <c r="AE171" s="498">
        <f t="shared" si="82"/>
        <v>1</v>
      </c>
      <c r="AF171" s="498">
        <f t="shared" si="82"/>
        <v>1</v>
      </c>
      <c r="AG171" s="498">
        <f t="shared" si="82"/>
        <v>1</v>
      </c>
      <c r="AH171" s="498">
        <f t="shared" si="82"/>
        <v>1</v>
      </c>
      <c r="AI171" s="498">
        <f t="shared" si="82"/>
        <v>1</v>
      </c>
      <c r="AJ171" s="498"/>
    </row>
    <row r="172" spans="2:36" s="357" customFormat="1" ht="12">
      <c r="B172" s="477"/>
      <c r="D172" s="448"/>
      <c r="E172" s="497"/>
      <c r="F172" s="497"/>
      <c r="G172" s="497"/>
      <c r="H172" s="497"/>
      <c r="I172" s="497"/>
      <c r="J172" s="497"/>
      <c r="K172" s="497"/>
      <c r="L172" s="497"/>
      <c r="M172" s="497"/>
      <c r="N172" s="497"/>
      <c r="O172" s="497"/>
      <c r="P172" s="497"/>
      <c r="Q172" s="497"/>
      <c r="R172" s="497"/>
      <c r="S172" s="497"/>
      <c r="T172" s="497"/>
      <c r="U172" s="497"/>
      <c r="V172" s="497"/>
      <c r="W172" s="497"/>
      <c r="X172" s="497"/>
      <c r="Y172" s="497"/>
      <c r="Z172" s="497"/>
      <c r="AA172" s="497"/>
      <c r="AB172" s="497"/>
      <c r="AC172" s="497"/>
      <c r="AD172" s="497"/>
      <c r="AE172" s="497"/>
      <c r="AF172" s="497"/>
      <c r="AG172" s="497"/>
      <c r="AH172" s="497"/>
      <c r="AI172" s="497"/>
      <c r="AJ172" s="497"/>
    </row>
    <row r="173" spans="2:36" customFormat="1" ht="15">
      <c r="D173" s="499"/>
    </row>
    <row r="174" spans="2:36">
      <c r="D174" s="462"/>
    </row>
    <row r="175" spans="2:36" s="357" customFormat="1" ht="12">
      <c r="B175" s="359" t="s">
        <v>450</v>
      </c>
      <c r="C175" s="221" t="s">
        <v>3</v>
      </c>
      <c r="D175" s="500">
        <f>'Premissas Técnicas'!D10</f>
        <v>0.75</v>
      </c>
    </row>
    <row r="176" spans="2:36" s="357" customFormat="1" ht="12">
      <c r="B176" s="501" t="s">
        <v>547</v>
      </c>
      <c r="C176" s="502" t="s">
        <v>5</v>
      </c>
      <c r="D176" s="448"/>
      <c r="F176" s="487">
        <f>SUM(F177:F181)</f>
        <v>0</v>
      </c>
      <c r="G176" s="487">
        <f t="shared" ref="G176:AI176" si="83">SUM(G177:G181)</f>
        <v>0</v>
      </c>
      <c r="H176" s="487">
        <f t="shared" si="83"/>
        <v>1339768</v>
      </c>
      <c r="I176" s="487">
        <f t="shared" si="83"/>
        <v>2418072</v>
      </c>
      <c r="J176" s="487">
        <f t="shared" si="83"/>
        <v>2418072</v>
      </c>
      <c r="K176" s="487">
        <f t="shared" si="83"/>
        <v>4530064</v>
      </c>
      <c r="L176" s="487">
        <f t="shared" si="83"/>
        <v>7426448</v>
      </c>
      <c r="M176" s="487">
        <f t="shared" si="83"/>
        <v>9001992</v>
      </c>
      <c r="N176" s="487">
        <f t="shared" si="83"/>
        <v>9530328</v>
      </c>
      <c r="O176" s="487">
        <f t="shared" si="83"/>
        <v>9530328</v>
      </c>
      <c r="P176" s="487">
        <f t="shared" si="83"/>
        <v>9530328</v>
      </c>
      <c r="Q176" s="487">
        <f t="shared" si="83"/>
        <v>9530328</v>
      </c>
      <c r="R176" s="487">
        <f t="shared" si="83"/>
        <v>9530328</v>
      </c>
      <c r="S176" s="487">
        <f t="shared" si="83"/>
        <v>9530328</v>
      </c>
      <c r="T176" s="487">
        <f t="shared" si="83"/>
        <v>9530328</v>
      </c>
      <c r="U176" s="487">
        <f t="shared" si="83"/>
        <v>9530328</v>
      </c>
      <c r="V176" s="487">
        <f t="shared" si="83"/>
        <v>9530328</v>
      </c>
      <c r="W176" s="487">
        <f t="shared" si="83"/>
        <v>9530328</v>
      </c>
      <c r="X176" s="487">
        <f t="shared" si="83"/>
        <v>9530328</v>
      </c>
      <c r="Y176" s="487">
        <f t="shared" si="83"/>
        <v>9530328</v>
      </c>
      <c r="Z176" s="487">
        <f t="shared" si="83"/>
        <v>9530328</v>
      </c>
      <c r="AA176" s="487">
        <f t="shared" si="83"/>
        <v>9530328</v>
      </c>
      <c r="AB176" s="487">
        <f t="shared" si="83"/>
        <v>9530328</v>
      </c>
      <c r="AC176" s="487">
        <f t="shared" si="83"/>
        <v>9530328</v>
      </c>
      <c r="AD176" s="487">
        <f t="shared" si="83"/>
        <v>9530328</v>
      </c>
      <c r="AE176" s="487">
        <f t="shared" si="83"/>
        <v>9530328</v>
      </c>
      <c r="AF176" s="487">
        <f t="shared" si="83"/>
        <v>9530328</v>
      </c>
      <c r="AG176" s="487">
        <f t="shared" si="83"/>
        <v>9530328</v>
      </c>
      <c r="AH176" s="487">
        <f t="shared" si="83"/>
        <v>9530328</v>
      </c>
      <c r="AI176" s="487">
        <f t="shared" si="83"/>
        <v>9530328</v>
      </c>
      <c r="AJ176" s="487"/>
    </row>
    <row r="177" spans="2:36" s="357" customFormat="1" ht="11.1" customHeight="1">
      <c r="B177" s="477" t="str">
        <f>B7</f>
        <v>ETE Atuba Sul</v>
      </c>
      <c r="C177" s="502" t="s">
        <v>5</v>
      </c>
      <c r="D177" s="448"/>
      <c r="F177" s="487">
        <f>(F184+F191)/$D$175</f>
        <v>0</v>
      </c>
      <c r="G177" s="487">
        <f t="shared" ref="G177:AI177" si="84">(G184+G191)/$D$175</f>
        <v>0</v>
      </c>
      <c r="H177" s="487">
        <f>(H184+H191)/$D$175</f>
        <v>1339768</v>
      </c>
      <c r="I177" s="487">
        <f t="shared" si="84"/>
        <v>2418072</v>
      </c>
      <c r="J177" s="487">
        <f t="shared" si="84"/>
        <v>2418072</v>
      </c>
      <c r="K177" s="487">
        <f t="shared" si="84"/>
        <v>2418072</v>
      </c>
      <c r="L177" s="487">
        <f t="shared" si="84"/>
        <v>2418072</v>
      </c>
      <c r="M177" s="487">
        <f t="shared" si="84"/>
        <v>2418072</v>
      </c>
      <c r="N177" s="487">
        <f t="shared" si="84"/>
        <v>2418072</v>
      </c>
      <c r="O177" s="487">
        <f t="shared" si="84"/>
        <v>2418072</v>
      </c>
      <c r="P177" s="487">
        <f t="shared" si="84"/>
        <v>2418072</v>
      </c>
      <c r="Q177" s="487">
        <f t="shared" si="84"/>
        <v>2418072</v>
      </c>
      <c r="R177" s="487">
        <f t="shared" si="84"/>
        <v>2418072</v>
      </c>
      <c r="S177" s="487">
        <f t="shared" si="84"/>
        <v>2418072</v>
      </c>
      <c r="T177" s="487">
        <f t="shared" si="84"/>
        <v>2418072</v>
      </c>
      <c r="U177" s="487">
        <f t="shared" si="84"/>
        <v>2418072</v>
      </c>
      <c r="V177" s="487">
        <f t="shared" si="84"/>
        <v>2418072</v>
      </c>
      <c r="W177" s="487">
        <f t="shared" si="84"/>
        <v>2418072</v>
      </c>
      <c r="X177" s="487">
        <f t="shared" si="84"/>
        <v>2418072</v>
      </c>
      <c r="Y177" s="487">
        <f t="shared" si="84"/>
        <v>2418072</v>
      </c>
      <c r="Z177" s="487">
        <f t="shared" si="84"/>
        <v>2418072</v>
      </c>
      <c r="AA177" s="487">
        <f t="shared" si="84"/>
        <v>2418072</v>
      </c>
      <c r="AB177" s="487">
        <f t="shared" si="84"/>
        <v>2418072</v>
      </c>
      <c r="AC177" s="487">
        <f t="shared" si="84"/>
        <v>2418072</v>
      </c>
      <c r="AD177" s="487">
        <f t="shared" si="84"/>
        <v>2418072</v>
      </c>
      <c r="AE177" s="487">
        <f t="shared" si="84"/>
        <v>2418072</v>
      </c>
      <c r="AF177" s="487">
        <f t="shared" si="84"/>
        <v>2418072</v>
      </c>
      <c r="AG177" s="487">
        <f t="shared" si="84"/>
        <v>2418072</v>
      </c>
      <c r="AH177" s="487">
        <f t="shared" si="84"/>
        <v>2418072</v>
      </c>
      <c r="AI177" s="487">
        <f t="shared" si="84"/>
        <v>2418072</v>
      </c>
      <c r="AJ177" s="487"/>
    </row>
    <row r="178" spans="2:36" s="357" customFormat="1" ht="12">
      <c r="B178" s="477" t="str">
        <f>B8</f>
        <v>ETE Cafezal</v>
      </c>
      <c r="C178" s="502" t="s">
        <v>5</v>
      </c>
      <c r="D178" s="448"/>
      <c r="F178" s="487">
        <f t="shared" ref="F178:AI178" si="85">(F185+F192)/$D$175</f>
        <v>0</v>
      </c>
      <c r="G178" s="487">
        <f t="shared" si="85"/>
        <v>0</v>
      </c>
      <c r="H178" s="487">
        <f t="shared" si="85"/>
        <v>0</v>
      </c>
      <c r="I178" s="487">
        <f t="shared" si="85"/>
        <v>0</v>
      </c>
      <c r="J178" s="487">
        <f t="shared" si="85"/>
        <v>0</v>
      </c>
      <c r="K178" s="487">
        <f t="shared" si="85"/>
        <v>0</v>
      </c>
      <c r="L178" s="487">
        <f t="shared" si="85"/>
        <v>0</v>
      </c>
      <c r="M178" s="487">
        <f t="shared" si="85"/>
        <v>0</v>
      </c>
      <c r="N178" s="487">
        <f t="shared" si="85"/>
        <v>0</v>
      </c>
      <c r="O178" s="487">
        <f t="shared" si="85"/>
        <v>0</v>
      </c>
      <c r="P178" s="487">
        <f t="shared" si="85"/>
        <v>0</v>
      </c>
      <c r="Q178" s="487">
        <f t="shared" si="85"/>
        <v>0</v>
      </c>
      <c r="R178" s="487">
        <f t="shared" si="85"/>
        <v>0</v>
      </c>
      <c r="S178" s="487">
        <f t="shared" si="85"/>
        <v>0</v>
      </c>
      <c r="T178" s="487">
        <f t="shared" si="85"/>
        <v>0</v>
      </c>
      <c r="U178" s="487">
        <f t="shared" si="85"/>
        <v>0</v>
      </c>
      <c r="V178" s="487">
        <f t="shared" si="85"/>
        <v>0</v>
      </c>
      <c r="W178" s="487">
        <f t="shared" si="85"/>
        <v>0</v>
      </c>
      <c r="X178" s="487">
        <f t="shared" si="85"/>
        <v>0</v>
      </c>
      <c r="Y178" s="487">
        <f t="shared" si="85"/>
        <v>0</v>
      </c>
      <c r="Z178" s="487">
        <f t="shared" si="85"/>
        <v>0</v>
      </c>
      <c r="AA178" s="487">
        <f t="shared" si="85"/>
        <v>0</v>
      </c>
      <c r="AB178" s="487">
        <f t="shared" si="85"/>
        <v>0</v>
      </c>
      <c r="AC178" s="487">
        <f t="shared" si="85"/>
        <v>0</v>
      </c>
      <c r="AD178" s="487">
        <f t="shared" si="85"/>
        <v>0</v>
      </c>
      <c r="AE178" s="487">
        <f t="shared" si="85"/>
        <v>0</v>
      </c>
      <c r="AF178" s="487">
        <f t="shared" si="85"/>
        <v>0</v>
      </c>
      <c r="AG178" s="487">
        <f t="shared" si="85"/>
        <v>0</v>
      </c>
      <c r="AH178" s="487">
        <f t="shared" si="85"/>
        <v>0</v>
      </c>
      <c r="AI178" s="487">
        <f t="shared" si="85"/>
        <v>0</v>
      </c>
      <c r="AJ178" s="487"/>
    </row>
    <row r="179" spans="2:36" s="357" customFormat="1" ht="12">
      <c r="B179" s="477" t="str">
        <f>B9</f>
        <v>ETE CIC-Xisto</v>
      </c>
      <c r="C179" s="502" t="s">
        <v>5</v>
      </c>
      <c r="D179" s="448"/>
      <c r="F179" s="487">
        <f t="shared" ref="F179:AI179" si="86">(F186+F193)/$D$175</f>
        <v>0</v>
      </c>
      <c r="G179" s="487">
        <f t="shared" si="86"/>
        <v>0</v>
      </c>
      <c r="H179" s="487">
        <f t="shared" si="86"/>
        <v>0</v>
      </c>
      <c r="I179" s="487">
        <f t="shared" si="86"/>
        <v>0</v>
      </c>
      <c r="J179" s="487">
        <f t="shared" si="86"/>
        <v>0</v>
      </c>
      <c r="K179" s="487">
        <f t="shared" si="86"/>
        <v>2111992</v>
      </c>
      <c r="L179" s="487">
        <f t="shared" si="86"/>
        <v>3961168</v>
      </c>
      <c r="M179" s="487">
        <f t="shared" si="86"/>
        <v>3961168</v>
      </c>
      <c r="N179" s="487">
        <f t="shared" si="86"/>
        <v>3961168</v>
      </c>
      <c r="O179" s="487">
        <f t="shared" si="86"/>
        <v>3961168</v>
      </c>
      <c r="P179" s="487">
        <f t="shared" si="86"/>
        <v>3961168</v>
      </c>
      <c r="Q179" s="487">
        <f t="shared" si="86"/>
        <v>3961168</v>
      </c>
      <c r="R179" s="487">
        <f t="shared" si="86"/>
        <v>3961168</v>
      </c>
      <c r="S179" s="487">
        <f t="shared" si="86"/>
        <v>3961168</v>
      </c>
      <c r="T179" s="487">
        <f t="shared" si="86"/>
        <v>3961168</v>
      </c>
      <c r="U179" s="487">
        <f t="shared" si="86"/>
        <v>3961168</v>
      </c>
      <c r="V179" s="487">
        <f t="shared" si="86"/>
        <v>3961168</v>
      </c>
      <c r="W179" s="487">
        <f t="shared" si="86"/>
        <v>3961168</v>
      </c>
      <c r="X179" s="487">
        <f t="shared" si="86"/>
        <v>3961168</v>
      </c>
      <c r="Y179" s="487">
        <f t="shared" si="86"/>
        <v>3961168</v>
      </c>
      <c r="Z179" s="487">
        <f t="shared" si="86"/>
        <v>3961168</v>
      </c>
      <c r="AA179" s="487">
        <f t="shared" si="86"/>
        <v>3961168</v>
      </c>
      <c r="AB179" s="487">
        <f t="shared" si="86"/>
        <v>3961168</v>
      </c>
      <c r="AC179" s="487">
        <f t="shared" si="86"/>
        <v>3961168</v>
      </c>
      <c r="AD179" s="487">
        <f t="shared" si="86"/>
        <v>3961168</v>
      </c>
      <c r="AE179" s="487">
        <f t="shared" si="86"/>
        <v>3961168</v>
      </c>
      <c r="AF179" s="487">
        <f t="shared" si="86"/>
        <v>3961168</v>
      </c>
      <c r="AG179" s="487">
        <f t="shared" si="86"/>
        <v>3961168</v>
      </c>
      <c r="AH179" s="487">
        <f t="shared" si="86"/>
        <v>3961168</v>
      </c>
      <c r="AI179" s="487">
        <f t="shared" si="86"/>
        <v>3961168</v>
      </c>
      <c r="AJ179" s="487"/>
    </row>
    <row r="180" spans="2:36" s="357" customFormat="1" ht="14.1" customHeight="1">
      <c r="B180" s="477" t="str">
        <f>B10</f>
        <v>ETE Rio Toledo</v>
      </c>
      <c r="C180" s="502" t="s">
        <v>5</v>
      </c>
      <c r="D180" s="448"/>
      <c r="F180" s="487">
        <f t="shared" ref="F180:AI180" si="87">(F187+F194)/$D$175</f>
        <v>0</v>
      </c>
      <c r="G180" s="487">
        <f t="shared" si="87"/>
        <v>0</v>
      </c>
      <c r="H180" s="487">
        <f t="shared" si="87"/>
        <v>0</v>
      </c>
      <c r="I180" s="487">
        <f t="shared" si="87"/>
        <v>0</v>
      </c>
      <c r="J180" s="487">
        <f t="shared" si="87"/>
        <v>0</v>
      </c>
      <c r="K180" s="487">
        <f t="shared" si="87"/>
        <v>0</v>
      </c>
      <c r="L180" s="487">
        <f t="shared" si="87"/>
        <v>1047208</v>
      </c>
      <c r="M180" s="487">
        <f t="shared" si="87"/>
        <v>1831600</v>
      </c>
      <c r="N180" s="487">
        <f t="shared" si="87"/>
        <v>1831600</v>
      </c>
      <c r="O180" s="487">
        <f t="shared" si="87"/>
        <v>1831600</v>
      </c>
      <c r="P180" s="487">
        <f t="shared" si="87"/>
        <v>1831600</v>
      </c>
      <c r="Q180" s="487">
        <f t="shared" si="87"/>
        <v>1831600</v>
      </c>
      <c r="R180" s="487">
        <f t="shared" si="87"/>
        <v>1831600</v>
      </c>
      <c r="S180" s="487">
        <f t="shared" si="87"/>
        <v>1831600</v>
      </c>
      <c r="T180" s="487">
        <f t="shared" si="87"/>
        <v>1831600</v>
      </c>
      <c r="U180" s="487">
        <f t="shared" si="87"/>
        <v>1831600</v>
      </c>
      <c r="V180" s="487">
        <f t="shared" si="87"/>
        <v>1831600</v>
      </c>
      <c r="W180" s="487">
        <f t="shared" si="87"/>
        <v>1831600</v>
      </c>
      <c r="X180" s="487">
        <f t="shared" si="87"/>
        <v>1831600</v>
      </c>
      <c r="Y180" s="487">
        <f t="shared" si="87"/>
        <v>1831600</v>
      </c>
      <c r="Z180" s="487">
        <f t="shared" si="87"/>
        <v>1831600</v>
      </c>
      <c r="AA180" s="487">
        <f t="shared" si="87"/>
        <v>1831600</v>
      </c>
      <c r="AB180" s="487">
        <f t="shared" si="87"/>
        <v>1831600</v>
      </c>
      <c r="AC180" s="487">
        <f t="shared" si="87"/>
        <v>1831600</v>
      </c>
      <c r="AD180" s="487">
        <f t="shared" si="87"/>
        <v>1831600</v>
      </c>
      <c r="AE180" s="487">
        <f t="shared" si="87"/>
        <v>1831600</v>
      </c>
      <c r="AF180" s="487">
        <f t="shared" si="87"/>
        <v>1831600</v>
      </c>
      <c r="AG180" s="487">
        <f t="shared" si="87"/>
        <v>1831600</v>
      </c>
      <c r="AH180" s="487">
        <f t="shared" si="87"/>
        <v>1831600</v>
      </c>
      <c r="AI180" s="487">
        <f t="shared" si="87"/>
        <v>1831600</v>
      </c>
      <c r="AJ180" s="487"/>
    </row>
    <row r="181" spans="2:36">
      <c r="B181" s="477" t="str">
        <f>B11</f>
        <v>ETE Verde</v>
      </c>
      <c r="C181" s="502" t="s">
        <v>5</v>
      </c>
      <c r="D181" s="462"/>
      <c r="F181" s="487">
        <f t="shared" ref="F181:AI181" si="88">(F188+F195)/$D$175</f>
        <v>0</v>
      </c>
      <c r="G181" s="487">
        <f t="shared" si="88"/>
        <v>0</v>
      </c>
      <c r="H181" s="487">
        <f t="shared" si="88"/>
        <v>0</v>
      </c>
      <c r="I181" s="487">
        <f t="shared" si="88"/>
        <v>0</v>
      </c>
      <c r="J181" s="487">
        <f t="shared" si="88"/>
        <v>0</v>
      </c>
      <c r="K181" s="487">
        <f t="shared" si="88"/>
        <v>0</v>
      </c>
      <c r="L181" s="487">
        <f t="shared" si="88"/>
        <v>0</v>
      </c>
      <c r="M181" s="487">
        <f t="shared" si="88"/>
        <v>791152</v>
      </c>
      <c r="N181" s="487">
        <f t="shared" si="88"/>
        <v>1319488</v>
      </c>
      <c r="O181" s="487">
        <f t="shared" si="88"/>
        <v>1319488</v>
      </c>
      <c r="P181" s="487">
        <f t="shared" si="88"/>
        <v>1319488</v>
      </c>
      <c r="Q181" s="487">
        <f t="shared" si="88"/>
        <v>1319488</v>
      </c>
      <c r="R181" s="487">
        <f t="shared" si="88"/>
        <v>1319488</v>
      </c>
      <c r="S181" s="487">
        <f t="shared" si="88"/>
        <v>1319488</v>
      </c>
      <c r="T181" s="487">
        <f t="shared" si="88"/>
        <v>1319488</v>
      </c>
      <c r="U181" s="487">
        <f t="shared" si="88"/>
        <v>1319488</v>
      </c>
      <c r="V181" s="487">
        <f t="shared" si="88"/>
        <v>1319488</v>
      </c>
      <c r="W181" s="487">
        <f t="shared" si="88"/>
        <v>1319488</v>
      </c>
      <c r="X181" s="487">
        <f t="shared" si="88"/>
        <v>1319488</v>
      </c>
      <c r="Y181" s="487">
        <f t="shared" si="88"/>
        <v>1319488</v>
      </c>
      <c r="Z181" s="487">
        <f t="shared" si="88"/>
        <v>1319488</v>
      </c>
      <c r="AA181" s="487">
        <f t="shared" si="88"/>
        <v>1319488</v>
      </c>
      <c r="AB181" s="487">
        <f t="shared" si="88"/>
        <v>1319488</v>
      </c>
      <c r="AC181" s="487">
        <f t="shared" si="88"/>
        <v>1319488</v>
      </c>
      <c r="AD181" s="487">
        <f t="shared" si="88"/>
        <v>1319488</v>
      </c>
      <c r="AE181" s="487">
        <f t="shared" si="88"/>
        <v>1319488</v>
      </c>
      <c r="AF181" s="487">
        <f t="shared" si="88"/>
        <v>1319488</v>
      </c>
      <c r="AG181" s="487">
        <f t="shared" si="88"/>
        <v>1319488</v>
      </c>
      <c r="AH181" s="487">
        <f t="shared" si="88"/>
        <v>1319488</v>
      </c>
      <c r="AI181" s="487">
        <f t="shared" si="88"/>
        <v>1319488</v>
      </c>
      <c r="AJ181" s="487"/>
    </row>
    <row r="182" spans="2:36" s="357" customFormat="1" ht="12">
      <c r="D182" s="448"/>
    </row>
    <row r="183" spans="2:36" s="357" customFormat="1" ht="12">
      <c r="B183" s="503" t="s">
        <v>548</v>
      </c>
      <c r="C183" s="502" t="s">
        <v>5</v>
      </c>
      <c r="F183" s="487">
        <f>SUM(F184:F188)</f>
        <v>0</v>
      </c>
      <c r="G183" s="487">
        <f t="shared" ref="G183:AI183" si="89">SUM(G184:G188)</f>
        <v>0</v>
      </c>
      <c r="H183" s="487">
        <f t="shared" si="89"/>
        <v>980490</v>
      </c>
      <c r="I183" s="487">
        <f t="shared" si="89"/>
        <v>1764882</v>
      </c>
      <c r="J183" s="487">
        <f t="shared" si="89"/>
        <v>1764882</v>
      </c>
      <c r="K183" s="487">
        <f t="shared" si="89"/>
        <v>3333666</v>
      </c>
      <c r="L183" s="487">
        <f t="shared" si="89"/>
        <v>5490744</v>
      </c>
      <c r="M183" s="487">
        <f t="shared" si="89"/>
        <v>6667332</v>
      </c>
      <c r="N183" s="487">
        <f t="shared" si="89"/>
        <v>7059528</v>
      </c>
      <c r="O183" s="487">
        <f t="shared" si="89"/>
        <v>7059528</v>
      </c>
      <c r="P183" s="487">
        <f t="shared" si="89"/>
        <v>7059528</v>
      </c>
      <c r="Q183" s="487">
        <f t="shared" si="89"/>
        <v>7059528</v>
      </c>
      <c r="R183" s="487">
        <f t="shared" si="89"/>
        <v>7059528</v>
      </c>
      <c r="S183" s="487">
        <f t="shared" si="89"/>
        <v>7059528</v>
      </c>
      <c r="T183" s="487">
        <f t="shared" si="89"/>
        <v>7059528</v>
      </c>
      <c r="U183" s="487">
        <f t="shared" si="89"/>
        <v>7059528</v>
      </c>
      <c r="V183" s="487">
        <f t="shared" si="89"/>
        <v>7059528</v>
      </c>
      <c r="W183" s="487">
        <f t="shared" si="89"/>
        <v>7059528</v>
      </c>
      <c r="X183" s="487">
        <f t="shared" si="89"/>
        <v>7059528</v>
      </c>
      <c r="Y183" s="487">
        <f t="shared" si="89"/>
        <v>7059528</v>
      </c>
      <c r="Z183" s="487">
        <f t="shared" si="89"/>
        <v>7059528</v>
      </c>
      <c r="AA183" s="487">
        <f t="shared" si="89"/>
        <v>7059528</v>
      </c>
      <c r="AB183" s="487">
        <f t="shared" si="89"/>
        <v>7059528</v>
      </c>
      <c r="AC183" s="487">
        <f t="shared" si="89"/>
        <v>7059528</v>
      </c>
      <c r="AD183" s="487">
        <f t="shared" si="89"/>
        <v>7059528</v>
      </c>
      <c r="AE183" s="487">
        <f t="shared" si="89"/>
        <v>7059528</v>
      </c>
      <c r="AF183" s="487">
        <f t="shared" si="89"/>
        <v>7059528</v>
      </c>
      <c r="AG183" s="487">
        <f t="shared" si="89"/>
        <v>7059528</v>
      </c>
      <c r="AH183" s="487">
        <f t="shared" si="89"/>
        <v>7059528</v>
      </c>
      <c r="AI183" s="487">
        <f t="shared" si="89"/>
        <v>7059528</v>
      </c>
      <c r="AJ183" s="487"/>
    </row>
    <row r="184" spans="2:36" s="357" customFormat="1" ht="12">
      <c r="B184" s="477" t="str">
        <f>B7</f>
        <v>ETE Atuba Sul</v>
      </c>
      <c r="C184" s="502" t="s">
        <v>5</v>
      </c>
      <c r="F184" s="373">
        <f>_xlfn.XLOOKUP($B184,$D$61:$H$61,$D$62:$H$62)*ROUNDUP(_xlfn.XLOOKUP($B184,$D$71:$H$71,$D$72:$H$72)*F160,0)*12</f>
        <v>0</v>
      </c>
      <c r="G184" s="373">
        <f t="shared" ref="G184:AI184" si="90">_xlfn.XLOOKUP($B184,$D$61:$H$61,$D$62:$H$62)*ROUNDUP(_xlfn.XLOOKUP($B184,$D$71:$H$71,$D$72:$H$72)*G160,0)*12</f>
        <v>0</v>
      </c>
      <c r="H184" s="373">
        <f>_xlfn.XLOOKUP($B184,$D$61:$H$61,$D$62:$H$62)*ROUNDUP(_xlfn.XLOOKUP($B184,$D$71:$H$71,$D$72:$H$72)*H160,0)*12</f>
        <v>980490</v>
      </c>
      <c r="I184" s="373">
        <f t="shared" si="90"/>
        <v>1764882</v>
      </c>
      <c r="J184" s="373">
        <f t="shared" si="90"/>
        <v>1764882</v>
      </c>
      <c r="K184" s="373">
        <f t="shared" si="90"/>
        <v>1764882</v>
      </c>
      <c r="L184" s="373">
        <f t="shared" si="90"/>
        <v>1764882</v>
      </c>
      <c r="M184" s="373">
        <f t="shared" si="90"/>
        <v>1764882</v>
      </c>
      <c r="N184" s="373">
        <f t="shared" si="90"/>
        <v>1764882</v>
      </c>
      <c r="O184" s="373">
        <f t="shared" si="90"/>
        <v>1764882</v>
      </c>
      <c r="P184" s="373">
        <f t="shared" si="90"/>
        <v>1764882</v>
      </c>
      <c r="Q184" s="373">
        <f t="shared" si="90"/>
        <v>1764882</v>
      </c>
      <c r="R184" s="373">
        <f t="shared" si="90"/>
        <v>1764882</v>
      </c>
      <c r="S184" s="373">
        <f t="shared" si="90"/>
        <v>1764882</v>
      </c>
      <c r="T184" s="373">
        <f t="shared" si="90"/>
        <v>1764882</v>
      </c>
      <c r="U184" s="373">
        <f t="shared" si="90"/>
        <v>1764882</v>
      </c>
      <c r="V184" s="373">
        <f t="shared" si="90"/>
        <v>1764882</v>
      </c>
      <c r="W184" s="373">
        <f t="shared" si="90"/>
        <v>1764882</v>
      </c>
      <c r="X184" s="373">
        <f t="shared" si="90"/>
        <v>1764882</v>
      </c>
      <c r="Y184" s="373">
        <f t="shared" si="90"/>
        <v>1764882</v>
      </c>
      <c r="Z184" s="373">
        <f t="shared" si="90"/>
        <v>1764882</v>
      </c>
      <c r="AA184" s="373">
        <f t="shared" si="90"/>
        <v>1764882</v>
      </c>
      <c r="AB184" s="373">
        <f t="shared" si="90"/>
        <v>1764882</v>
      </c>
      <c r="AC184" s="373">
        <f t="shared" si="90"/>
        <v>1764882</v>
      </c>
      <c r="AD184" s="373">
        <f t="shared" si="90"/>
        <v>1764882</v>
      </c>
      <c r="AE184" s="373">
        <f t="shared" si="90"/>
        <v>1764882</v>
      </c>
      <c r="AF184" s="373">
        <f t="shared" si="90"/>
        <v>1764882</v>
      </c>
      <c r="AG184" s="373">
        <f t="shared" si="90"/>
        <v>1764882</v>
      </c>
      <c r="AH184" s="373">
        <f t="shared" si="90"/>
        <v>1764882</v>
      </c>
      <c r="AI184" s="373">
        <f t="shared" si="90"/>
        <v>1764882</v>
      </c>
      <c r="AJ184" s="373"/>
    </row>
    <row r="185" spans="2:36" s="357" customFormat="1" ht="12">
      <c r="B185" s="477" t="str">
        <f>B8</f>
        <v>ETE Cafezal</v>
      </c>
      <c r="C185" s="502" t="s">
        <v>5</v>
      </c>
      <c r="F185" s="373">
        <f t="shared" ref="F185:AI185" si="91">_xlfn.XLOOKUP($B185,$D$61:$H$61,$D$62:$H$62)*ROUNDUP(_xlfn.XLOOKUP($B185,$D$71:$H$71,$D$72:$H$72)*F161,0)*12</f>
        <v>0</v>
      </c>
      <c r="G185" s="373">
        <f t="shared" si="91"/>
        <v>0</v>
      </c>
      <c r="H185" s="373">
        <f t="shared" si="91"/>
        <v>0</v>
      </c>
      <c r="I185" s="373">
        <f t="shared" si="91"/>
        <v>0</v>
      </c>
      <c r="J185" s="373">
        <f t="shared" si="91"/>
        <v>0</v>
      </c>
      <c r="K185" s="373">
        <f t="shared" si="91"/>
        <v>0</v>
      </c>
      <c r="L185" s="373">
        <f t="shared" si="91"/>
        <v>0</v>
      </c>
      <c r="M185" s="373">
        <f t="shared" si="91"/>
        <v>0</v>
      </c>
      <c r="N185" s="373">
        <f t="shared" si="91"/>
        <v>0</v>
      </c>
      <c r="O185" s="373">
        <f t="shared" si="91"/>
        <v>0</v>
      </c>
      <c r="P185" s="373">
        <f t="shared" si="91"/>
        <v>0</v>
      </c>
      <c r="Q185" s="373">
        <f t="shared" si="91"/>
        <v>0</v>
      </c>
      <c r="R185" s="373">
        <f t="shared" si="91"/>
        <v>0</v>
      </c>
      <c r="S185" s="373">
        <f t="shared" si="91"/>
        <v>0</v>
      </c>
      <c r="T185" s="373">
        <f t="shared" si="91"/>
        <v>0</v>
      </c>
      <c r="U185" s="373">
        <f t="shared" si="91"/>
        <v>0</v>
      </c>
      <c r="V185" s="373">
        <f t="shared" si="91"/>
        <v>0</v>
      </c>
      <c r="W185" s="373">
        <f t="shared" si="91"/>
        <v>0</v>
      </c>
      <c r="X185" s="373">
        <f t="shared" si="91"/>
        <v>0</v>
      </c>
      <c r="Y185" s="373">
        <f t="shared" si="91"/>
        <v>0</v>
      </c>
      <c r="Z185" s="373">
        <f t="shared" si="91"/>
        <v>0</v>
      </c>
      <c r="AA185" s="373">
        <f t="shared" si="91"/>
        <v>0</v>
      </c>
      <c r="AB185" s="373">
        <f t="shared" si="91"/>
        <v>0</v>
      </c>
      <c r="AC185" s="373">
        <f t="shared" si="91"/>
        <v>0</v>
      </c>
      <c r="AD185" s="373">
        <f t="shared" si="91"/>
        <v>0</v>
      </c>
      <c r="AE185" s="373">
        <f t="shared" si="91"/>
        <v>0</v>
      </c>
      <c r="AF185" s="373">
        <f t="shared" si="91"/>
        <v>0</v>
      </c>
      <c r="AG185" s="373">
        <f t="shared" si="91"/>
        <v>0</v>
      </c>
      <c r="AH185" s="373">
        <f t="shared" si="91"/>
        <v>0</v>
      </c>
      <c r="AI185" s="373">
        <f t="shared" si="91"/>
        <v>0</v>
      </c>
      <c r="AJ185" s="373"/>
    </row>
    <row r="186" spans="2:36" s="357" customFormat="1" ht="12">
      <c r="B186" s="477" t="str">
        <f>B9</f>
        <v>ETE CIC-Xisto</v>
      </c>
      <c r="C186" s="502" t="s">
        <v>5</v>
      </c>
      <c r="F186" s="373">
        <f t="shared" ref="F186:AI186" si="92">_xlfn.XLOOKUP($B186,$D$61:$H$61,$D$62:$H$62)*ROUNDUP(_xlfn.XLOOKUP($B186,$D$71:$H$71,$D$72:$H$72)*F162,0)*12</f>
        <v>0</v>
      </c>
      <c r="G186" s="373">
        <f t="shared" si="92"/>
        <v>0</v>
      </c>
      <c r="H186" s="373">
        <f t="shared" si="92"/>
        <v>0</v>
      </c>
      <c r="I186" s="373">
        <f t="shared" si="92"/>
        <v>0</v>
      </c>
      <c r="J186" s="373">
        <f t="shared" si="92"/>
        <v>0</v>
      </c>
      <c r="K186" s="373">
        <f t="shared" si="92"/>
        <v>1568784</v>
      </c>
      <c r="L186" s="373">
        <f t="shared" si="92"/>
        <v>2941470</v>
      </c>
      <c r="M186" s="373">
        <f t="shared" si="92"/>
        <v>2941470</v>
      </c>
      <c r="N186" s="373">
        <f t="shared" si="92"/>
        <v>2941470</v>
      </c>
      <c r="O186" s="373">
        <f t="shared" si="92"/>
        <v>2941470</v>
      </c>
      <c r="P186" s="373">
        <f t="shared" si="92"/>
        <v>2941470</v>
      </c>
      <c r="Q186" s="373">
        <f t="shared" si="92"/>
        <v>2941470</v>
      </c>
      <c r="R186" s="373">
        <f t="shared" si="92"/>
        <v>2941470</v>
      </c>
      <c r="S186" s="373">
        <f t="shared" si="92"/>
        <v>2941470</v>
      </c>
      <c r="T186" s="373">
        <f t="shared" si="92"/>
        <v>2941470</v>
      </c>
      <c r="U186" s="373">
        <f t="shared" si="92"/>
        <v>2941470</v>
      </c>
      <c r="V186" s="373">
        <f t="shared" si="92"/>
        <v>2941470</v>
      </c>
      <c r="W186" s="373">
        <f t="shared" si="92"/>
        <v>2941470</v>
      </c>
      <c r="X186" s="373">
        <f t="shared" si="92"/>
        <v>2941470</v>
      </c>
      <c r="Y186" s="373">
        <f t="shared" si="92"/>
        <v>2941470</v>
      </c>
      <c r="Z186" s="373">
        <f t="shared" si="92"/>
        <v>2941470</v>
      </c>
      <c r="AA186" s="373">
        <f t="shared" si="92"/>
        <v>2941470</v>
      </c>
      <c r="AB186" s="373">
        <f t="shared" si="92"/>
        <v>2941470</v>
      </c>
      <c r="AC186" s="373">
        <f t="shared" si="92"/>
        <v>2941470</v>
      </c>
      <c r="AD186" s="373">
        <f t="shared" si="92"/>
        <v>2941470</v>
      </c>
      <c r="AE186" s="373">
        <f t="shared" si="92"/>
        <v>2941470</v>
      </c>
      <c r="AF186" s="373">
        <f t="shared" si="92"/>
        <v>2941470</v>
      </c>
      <c r="AG186" s="373">
        <f t="shared" si="92"/>
        <v>2941470</v>
      </c>
      <c r="AH186" s="373">
        <f t="shared" si="92"/>
        <v>2941470</v>
      </c>
      <c r="AI186" s="373">
        <f t="shared" si="92"/>
        <v>2941470</v>
      </c>
      <c r="AJ186" s="373"/>
    </row>
    <row r="187" spans="2:36" s="357" customFormat="1" ht="12">
      <c r="B187" s="477" t="str">
        <f>B10</f>
        <v>ETE Rio Toledo</v>
      </c>
      <c r="C187" s="502" t="s">
        <v>5</v>
      </c>
      <c r="F187" s="373">
        <f t="shared" ref="F187:AI187" si="93">_xlfn.XLOOKUP($B187,$D$61:$H$61,$D$62:$H$62)*ROUNDUP(_xlfn.XLOOKUP($B187,$D$71:$H$71,$D$72:$H$72)*F163,0)*12</f>
        <v>0</v>
      </c>
      <c r="G187" s="373">
        <f t="shared" si="93"/>
        <v>0</v>
      </c>
      <c r="H187" s="373">
        <f t="shared" si="93"/>
        <v>0</v>
      </c>
      <c r="I187" s="373">
        <f t="shared" si="93"/>
        <v>0</v>
      </c>
      <c r="J187" s="373">
        <f t="shared" si="93"/>
        <v>0</v>
      </c>
      <c r="K187" s="373">
        <f t="shared" si="93"/>
        <v>0</v>
      </c>
      <c r="L187" s="373">
        <f t="shared" si="93"/>
        <v>784392</v>
      </c>
      <c r="M187" s="373">
        <f t="shared" si="93"/>
        <v>1372686</v>
      </c>
      <c r="N187" s="373">
        <f t="shared" si="93"/>
        <v>1372686</v>
      </c>
      <c r="O187" s="373">
        <f t="shared" si="93"/>
        <v>1372686</v>
      </c>
      <c r="P187" s="373">
        <f t="shared" si="93"/>
        <v>1372686</v>
      </c>
      <c r="Q187" s="373">
        <f t="shared" si="93"/>
        <v>1372686</v>
      </c>
      <c r="R187" s="373">
        <f t="shared" si="93"/>
        <v>1372686</v>
      </c>
      <c r="S187" s="373">
        <f t="shared" si="93"/>
        <v>1372686</v>
      </c>
      <c r="T187" s="373">
        <f t="shared" si="93"/>
        <v>1372686</v>
      </c>
      <c r="U187" s="373">
        <f t="shared" si="93"/>
        <v>1372686</v>
      </c>
      <c r="V187" s="373">
        <f t="shared" si="93"/>
        <v>1372686</v>
      </c>
      <c r="W187" s="373">
        <f t="shared" si="93"/>
        <v>1372686</v>
      </c>
      <c r="X187" s="373">
        <f t="shared" si="93"/>
        <v>1372686</v>
      </c>
      <c r="Y187" s="373">
        <f t="shared" si="93"/>
        <v>1372686</v>
      </c>
      <c r="Z187" s="373">
        <f t="shared" si="93"/>
        <v>1372686</v>
      </c>
      <c r="AA187" s="373">
        <f t="shared" si="93"/>
        <v>1372686</v>
      </c>
      <c r="AB187" s="373">
        <f t="shared" si="93"/>
        <v>1372686</v>
      </c>
      <c r="AC187" s="373">
        <f t="shared" si="93"/>
        <v>1372686</v>
      </c>
      <c r="AD187" s="373">
        <f t="shared" si="93"/>
        <v>1372686</v>
      </c>
      <c r="AE187" s="373">
        <f t="shared" si="93"/>
        <v>1372686</v>
      </c>
      <c r="AF187" s="373">
        <f t="shared" si="93"/>
        <v>1372686</v>
      </c>
      <c r="AG187" s="373">
        <f t="shared" si="93"/>
        <v>1372686</v>
      </c>
      <c r="AH187" s="373">
        <f t="shared" si="93"/>
        <v>1372686</v>
      </c>
      <c r="AI187" s="373">
        <f t="shared" si="93"/>
        <v>1372686</v>
      </c>
      <c r="AJ187" s="373"/>
    </row>
    <row r="188" spans="2:36" s="357" customFormat="1" ht="12">
      <c r="B188" s="477" t="str">
        <f>B11</f>
        <v>ETE Verde</v>
      </c>
      <c r="C188" s="502" t="s">
        <v>5</v>
      </c>
      <c r="F188" s="373">
        <f t="shared" ref="F188:AI188" si="94">_xlfn.XLOOKUP($B188,$D$61:$H$61,$D$62:$H$62)*ROUNDUP(_xlfn.XLOOKUP($B188,$D$71:$H$71,$D$72:$H$72)*F164,0)*12</f>
        <v>0</v>
      </c>
      <c r="G188" s="373">
        <f t="shared" si="94"/>
        <v>0</v>
      </c>
      <c r="H188" s="373">
        <f t="shared" si="94"/>
        <v>0</v>
      </c>
      <c r="I188" s="373">
        <f t="shared" si="94"/>
        <v>0</v>
      </c>
      <c r="J188" s="373">
        <f t="shared" si="94"/>
        <v>0</v>
      </c>
      <c r="K188" s="373">
        <f t="shared" si="94"/>
        <v>0</v>
      </c>
      <c r="L188" s="373">
        <f t="shared" si="94"/>
        <v>0</v>
      </c>
      <c r="M188" s="373">
        <f t="shared" si="94"/>
        <v>588294</v>
      </c>
      <c r="N188" s="373">
        <f t="shared" si="94"/>
        <v>980490</v>
      </c>
      <c r="O188" s="373">
        <f t="shared" si="94"/>
        <v>980490</v>
      </c>
      <c r="P188" s="373">
        <f t="shared" si="94"/>
        <v>980490</v>
      </c>
      <c r="Q188" s="373">
        <f t="shared" si="94"/>
        <v>980490</v>
      </c>
      <c r="R188" s="373">
        <f t="shared" si="94"/>
        <v>980490</v>
      </c>
      <c r="S188" s="373">
        <f t="shared" si="94"/>
        <v>980490</v>
      </c>
      <c r="T188" s="373">
        <f t="shared" si="94"/>
        <v>980490</v>
      </c>
      <c r="U188" s="373">
        <f t="shared" si="94"/>
        <v>980490</v>
      </c>
      <c r="V188" s="373">
        <f t="shared" si="94"/>
        <v>980490</v>
      </c>
      <c r="W188" s="373">
        <f t="shared" si="94"/>
        <v>980490</v>
      </c>
      <c r="X188" s="373">
        <f t="shared" si="94"/>
        <v>980490</v>
      </c>
      <c r="Y188" s="373">
        <f t="shared" si="94"/>
        <v>980490</v>
      </c>
      <c r="Z188" s="373">
        <f t="shared" si="94"/>
        <v>980490</v>
      </c>
      <c r="AA188" s="373">
        <f t="shared" si="94"/>
        <v>980490</v>
      </c>
      <c r="AB188" s="373">
        <f t="shared" si="94"/>
        <v>980490</v>
      </c>
      <c r="AC188" s="373">
        <f t="shared" si="94"/>
        <v>980490</v>
      </c>
      <c r="AD188" s="373">
        <f t="shared" si="94"/>
        <v>980490</v>
      </c>
      <c r="AE188" s="373">
        <f t="shared" si="94"/>
        <v>980490</v>
      </c>
      <c r="AF188" s="373">
        <f t="shared" si="94"/>
        <v>980490</v>
      </c>
      <c r="AG188" s="373">
        <f t="shared" si="94"/>
        <v>980490</v>
      </c>
      <c r="AH188" s="373">
        <f t="shared" si="94"/>
        <v>980490</v>
      </c>
      <c r="AI188" s="373">
        <f t="shared" si="94"/>
        <v>980490</v>
      </c>
      <c r="AJ188" s="373"/>
    </row>
    <row r="189" spans="2:36" s="357" customFormat="1" ht="12">
      <c r="B189" s="477"/>
    </row>
    <row r="190" spans="2:36" s="357" customFormat="1" ht="12.6" customHeight="1">
      <c r="B190" s="503" t="s">
        <v>413</v>
      </c>
      <c r="C190" s="502" t="s">
        <v>5</v>
      </c>
      <c r="F190" s="487">
        <f>SUM(F191:F195)</f>
        <v>0</v>
      </c>
      <c r="G190" s="487">
        <f t="shared" ref="G190:AI190" si="95">SUM(G191:G195)</f>
        <v>0</v>
      </c>
      <c r="H190" s="487">
        <f t="shared" si="95"/>
        <v>24336</v>
      </c>
      <c r="I190" s="487">
        <f t="shared" si="95"/>
        <v>48672</v>
      </c>
      <c r="J190" s="487">
        <f t="shared" si="95"/>
        <v>48672</v>
      </c>
      <c r="K190" s="487">
        <f t="shared" si="95"/>
        <v>63882</v>
      </c>
      <c r="L190" s="487">
        <f t="shared" si="95"/>
        <v>79092</v>
      </c>
      <c r="M190" s="487">
        <f t="shared" si="95"/>
        <v>84162</v>
      </c>
      <c r="N190" s="487">
        <f t="shared" si="95"/>
        <v>88218</v>
      </c>
      <c r="O190" s="487">
        <f t="shared" si="95"/>
        <v>88218</v>
      </c>
      <c r="P190" s="487">
        <f t="shared" si="95"/>
        <v>88218</v>
      </c>
      <c r="Q190" s="487">
        <f t="shared" si="95"/>
        <v>88218</v>
      </c>
      <c r="R190" s="487">
        <f t="shared" si="95"/>
        <v>88218</v>
      </c>
      <c r="S190" s="487">
        <f t="shared" si="95"/>
        <v>88218</v>
      </c>
      <c r="T190" s="487">
        <f t="shared" si="95"/>
        <v>88218</v>
      </c>
      <c r="U190" s="487">
        <f t="shared" si="95"/>
        <v>88218</v>
      </c>
      <c r="V190" s="487">
        <f t="shared" si="95"/>
        <v>88218</v>
      </c>
      <c r="W190" s="487">
        <f t="shared" si="95"/>
        <v>88218</v>
      </c>
      <c r="X190" s="487">
        <f t="shared" si="95"/>
        <v>88218</v>
      </c>
      <c r="Y190" s="487">
        <f t="shared" si="95"/>
        <v>88218</v>
      </c>
      <c r="Z190" s="487">
        <f t="shared" si="95"/>
        <v>88218</v>
      </c>
      <c r="AA190" s="487">
        <f t="shared" si="95"/>
        <v>88218</v>
      </c>
      <c r="AB190" s="487">
        <f t="shared" si="95"/>
        <v>88218</v>
      </c>
      <c r="AC190" s="487">
        <f t="shared" si="95"/>
        <v>88218</v>
      </c>
      <c r="AD190" s="487">
        <f t="shared" si="95"/>
        <v>88218</v>
      </c>
      <c r="AE190" s="487">
        <f t="shared" si="95"/>
        <v>88218</v>
      </c>
      <c r="AF190" s="487">
        <f t="shared" si="95"/>
        <v>88218</v>
      </c>
      <c r="AG190" s="487">
        <f t="shared" si="95"/>
        <v>88218</v>
      </c>
      <c r="AH190" s="487">
        <f t="shared" si="95"/>
        <v>88218</v>
      </c>
      <c r="AI190" s="487">
        <f t="shared" si="95"/>
        <v>88218</v>
      </c>
      <c r="AJ190" s="487"/>
    </row>
    <row r="191" spans="2:36" s="357" customFormat="1" ht="12">
      <c r="B191" s="477" t="str">
        <f>B7</f>
        <v>ETE Atuba Sul</v>
      </c>
      <c r="C191" s="502" t="s">
        <v>5</v>
      </c>
      <c r="F191" s="373">
        <f>_xlfn.XLOOKUP($B191,$D$66:$H$66,$D$67:$H$67)*ROUNDUP(_xlfn.XLOOKUP($B191,$D$71:$H$71,$D$73:$H$73)*F167,0)*12</f>
        <v>0</v>
      </c>
      <c r="G191" s="373">
        <f t="shared" ref="G191:AI191" si="96">_xlfn.XLOOKUP($B191,$D$66:$H$66,$D$67:$H$67)*ROUNDUP(_xlfn.XLOOKUP($B191,$D$71:$H$71,$D$73:$H$73)*G167,0)*12</f>
        <v>0</v>
      </c>
      <c r="H191" s="373">
        <f t="shared" si="96"/>
        <v>24336</v>
      </c>
      <c r="I191" s="373">
        <f t="shared" si="96"/>
        <v>48672</v>
      </c>
      <c r="J191" s="373">
        <f t="shared" si="96"/>
        <v>48672</v>
      </c>
      <c r="K191" s="373">
        <f t="shared" si="96"/>
        <v>48672</v>
      </c>
      <c r="L191" s="373">
        <f t="shared" si="96"/>
        <v>48672</v>
      </c>
      <c r="M191" s="373">
        <f t="shared" si="96"/>
        <v>48672</v>
      </c>
      <c r="N191" s="373">
        <f t="shared" si="96"/>
        <v>48672</v>
      </c>
      <c r="O191" s="373">
        <f t="shared" si="96"/>
        <v>48672</v>
      </c>
      <c r="P191" s="373">
        <f t="shared" si="96"/>
        <v>48672</v>
      </c>
      <c r="Q191" s="373">
        <f t="shared" si="96"/>
        <v>48672</v>
      </c>
      <c r="R191" s="373">
        <f t="shared" si="96"/>
        <v>48672</v>
      </c>
      <c r="S191" s="373">
        <f t="shared" si="96"/>
        <v>48672</v>
      </c>
      <c r="T191" s="373">
        <f t="shared" si="96"/>
        <v>48672</v>
      </c>
      <c r="U191" s="373">
        <f t="shared" si="96"/>
        <v>48672</v>
      </c>
      <c r="V191" s="373">
        <f t="shared" si="96"/>
        <v>48672</v>
      </c>
      <c r="W191" s="373">
        <f t="shared" si="96"/>
        <v>48672</v>
      </c>
      <c r="X191" s="373">
        <f t="shared" si="96"/>
        <v>48672</v>
      </c>
      <c r="Y191" s="373">
        <f t="shared" si="96"/>
        <v>48672</v>
      </c>
      <c r="Z191" s="373">
        <f t="shared" si="96"/>
        <v>48672</v>
      </c>
      <c r="AA191" s="373">
        <f t="shared" si="96"/>
        <v>48672</v>
      </c>
      <c r="AB191" s="373">
        <f t="shared" si="96"/>
        <v>48672</v>
      </c>
      <c r="AC191" s="373">
        <f t="shared" si="96"/>
        <v>48672</v>
      </c>
      <c r="AD191" s="373">
        <f t="shared" si="96"/>
        <v>48672</v>
      </c>
      <c r="AE191" s="373">
        <f t="shared" si="96"/>
        <v>48672</v>
      </c>
      <c r="AF191" s="373">
        <f t="shared" si="96"/>
        <v>48672</v>
      </c>
      <c r="AG191" s="373">
        <f t="shared" si="96"/>
        <v>48672</v>
      </c>
      <c r="AH191" s="373">
        <f t="shared" si="96"/>
        <v>48672</v>
      </c>
      <c r="AI191" s="373">
        <f t="shared" si="96"/>
        <v>48672</v>
      </c>
      <c r="AJ191" s="373"/>
    </row>
    <row r="192" spans="2:36" s="357" customFormat="1" ht="12" customHeight="1">
      <c r="B192" s="477" t="str">
        <f>B8</f>
        <v>ETE Cafezal</v>
      </c>
      <c r="C192" s="502" t="s">
        <v>5</v>
      </c>
      <c r="F192" s="373">
        <f>_xlfn.XLOOKUP($B192,$D$66:$H$66,$D$67:$H$67)*ROUNDUP(_xlfn.XLOOKUP($B192,$D$71:$H$71,$D$73:$H$73)*F168,0)*12</f>
        <v>0</v>
      </c>
      <c r="G192" s="373">
        <f t="shared" ref="G192:AI192" si="97">_xlfn.XLOOKUP($B192,$D$66:$H$66,$D$67:$H$67)*ROUNDUP(_xlfn.XLOOKUP($B192,$D$71:$H$71,$D$73:$H$73)*G168,0)*12</f>
        <v>0</v>
      </c>
      <c r="H192" s="373">
        <f t="shared" si="97"/>
        <v>0</v>
      </c>
      <c r="I192" s="373">
        <f t="shared" si="97"/>
        <v>0</v>
      </c>
      <c r="J192" s="373">
        <f t="shared" si="97"/>
        <v>0</v>
      </c>
      <c r="K192" s="373">
        <f t="shared" si="97"/>
        <v>0</v>
      </c>
      <c r="L192" s="373">
        <f t="shared" si="97"/>
        <v>0</v>
      </c>
      <c r="M192" s="373">
        <f t="shared" si="97"/>
        <v>0</v>
      </c>
      <c r="N192" s="373">
        <f t="shared" si="97"/>
        <v>0</v>
      </c>
      <c r="O192" s="373">
        <f t="shared" si="97"/>
        <v>0</v>
      </c>
      <c r="P192" s="373">
        <f t="shared" si="97"/>
        <v>0</v>
      </c>
      <c r="Q192" s="373">
        <f t="shared" si="97"/>
        <v>0</v>
      </c>
      <c r="R192" s="373">
        <f t="shared" si="97"/>
        <v>0</v>
      </c>
      <c r="S192" s="373">
        <f t="shared" si="97"/>
        <v>0</v>
      </c>
      <c r="T192" s="373">
        <f t="shared" si="97"/>
        <v>0</v>
      </c>
      <c r="U192" s="373">
        <f t="shared" si="97"/>
        <v>0</v>
      </c>
      <c r="V192" s="373">
        <f t="shared" si="97"/>
        <v>0</v>
      </c>
      <c r="W192" s="373">
        <f t="shared" si="97"/>
        <v>0</v>
      </c>
      <c r="X192" s="373">
        <f t="shared" si="97"/>
        <v>0</v>
      </c>
      <c r="Y192" s="373">
        <f t="shared" si="97"/>
        <v>0</v>
      </c>
      <c r="Z192" s="373">
        <f t="shared" si="97"/>
        <v>0</v>
      </c>
      <c r="AA192" s="373">
        <f t="shared" si="97"/>
        <v>0</v>
      </c>
      <c r="AB192" s="373">
        <f t="shared" si="97"/>
        <v>0</v>
      </c>
      <c r="AC192" s="373">
        <f t="shared" si="97"/>
        <v>0</v>
      </c>
      <c r="AD192" s="373">
        <f t="shared" si="97"/>
        <v>0</v>
      </c>
      <c r="AE192" s="373">
        <f t="shared" si="97"/>
        <v>0</v>
      </c>
      <c r="AF192" s="373">
        <f t="shared" si="97"/>
        <v>0</v>
      </c>
      <c r="AG192" s="373">
        <f t="shared" si="97"/>
        <v>0</v>
      </c>
      <c r="AH192" s="373">
        <f t="shared" si="97"/>
        <v>0</v>
      </c>
      <c r="AI192" s="373">
        <f t="shared" si="97"/>
        <v>0</v>
      </c>
      <c r="AJ192" s="373"/>
    </row>
    <row r="193" spans="1:36" s="357" customFormat="1" ht="12">
      <c r="B193" s="477" t="str">
        <f>B9</f>
        <v>ETE CIC-Xisto</v>
      </c>
      <c r="C193" s="502" t="s">
        <v>5</v>
      </c>
      <c r="F193" s="373">
        <f>_xlfn.XLOOKUP($B193,$D$66:$H$66,$D$67:$H$67)*ROUNDUP(_xlfn.XLOOKUP($B193,$D$71:$H$71,$D$73:$H$73)*F169,0)*12</f>
        <v>0</v>
      </c>
      <c r="G193" s="373">
        <f t="shared" ref="G193:AI193" si="98">_xlfn.XLOOKUP($B193,$D$66:$H$66,$D$67:$H$67)*ROUNDUP(_xlfn.XLOOKUP($B193,$D$71:$H$71,$D$73:$H$73)*G169,0)*12</f>
        <v>0</v>
      </c>
      <c r="H193" s="373">
        <f t="shared" si="98"/>
        <v>0</v>
      </c>
      <c r="I193" s="373">
        <f t="shared" si="98"/>
        <v>0</v>
      </c>
      <c r="J193" s="373">
        <f t="shared" si="98"/>
        <v>0</v>
      </c>
      <c r="K193" s="373">
        <f t="shared" si="98"/>
        <v>15210</v>
      </c>
      <c r="L193" s="373">
        <f t="shared" si="98"/>
        <v>29406</v>
      </c>
      <c r="M193" s="373">
        <f t="shared" si="98"/>
        <v>29406</v>
      </c>
      <c r="N193" s="373">
        <f t="shared" si="98"/>
        <v>29406</v>
      </c>
      <c r="O193" s="373">
        <f t="shared" si="98"/>
        <v>29406</v>
      </c>
      <c r="P193" s="373">
        <f t="shared" si="98"/>
        <v>29406</v>
      </c>
      <c r="Q193" s="373">
        <f t="shared" si="98"/>
        <v>29406</v>
      </c>
      <c r="R193" s="373">
        <f t="shared" si="98"/>
        <v>29406</v>
      </c>
      <c r="S193" s="373">
        <f t="shared" si="98"/>
        <v>29406</v>
      </c>
      <c r="T193" s="373">
        <f t="shared" si="98"/>
        <v>29406</v>
      </c>
      <c r="U193" s="373">
        <f t="shared" si="98"/>
        <v>29406</v>
      </c>
      <c r="V193" s="373">
        <f t="shared" si="98"/>
        <v>29406</v>
      </c>
      <c r="W193" s="373">
        <f t="shared" si="98"/>
        <v>29406</v>
      </c>
      <c r="X193" s="373">
        <f t="shared" si="98"/>
        <v>29406</v>
      </c>
      <c r="Y193" s="373">
        <f t="shared" si="98"/>
        <v>29406</v>
      </c>
      <c r="Z193" s="373">
        <f t="shared" si="98"/>
        <v>29406</v>
      </c>
      <c r="AA193" s="373">
        <f t="shared" si="98"/>
        <v>29406</v>
      </c>
      <c r="AB193" s="373">
        <f t="shared" si="98"/>
        <v>29406</v>
      </c>
      <c r="AC193" s="373">
        <f t="shared" si="98"/>
        <v>29406</v>
      </c>
      <c r="AD193" s="373">
        <f t="shared" si="98"/>
        <v>29406</v>
      </c>
      <c r="AE193" s="373">
        <f t="shared" si="98"/>
        <v>29406</v>
      </c>
      <c r="AF193" s="373">
        <f t="shared" si="98"/>
        <v>29406</v>
      </c>
      <c r="AG193" s="373">
        <f t="shared" si="98"/>
        <v>29406</v>
      </c>
      <c r="AH193" s="373">
        <f t="shared" si="98"/>
        <v>29406</v>
      </c>
      <c r="AI193" s="373">
        <f t="shared" si="98"/>
        <v>29406</v>
      </c>
      <c r="AJ193" s="373"/>
    </row>
    <row r="194" spans="1:36" s="357" customFormat="1" ht="12">
      <c r="B194" s="477" t="str">
        <f>B10</f>
        <v>ETE Rio Toledo</v>
      </c>
      <c r="C194" s="502" t="s">
        <v>5</v>
      </c>
      <c r="F194" s="373">
        <f>_xlfn.XLOOKUP($B194,$D$66:$H$66,$D$67:$H$67)*ROUNDUP(_xlfn.XLOOKUP($B194,$D$71:$H$71,$D$73:$H$73)*F170,0)*12</f>
        <v>0</v>
      </c>
      <c r="G194" s="373">
        <f t="shared" ref="G194:AI194" si="99">_xlfn.XLOOKUP($B194,$D$66:$H$66,$D$67:$H$67)*ROUNDUP(_xlfn.XLOOKUP($B194,$D$71:$H$71,$D$73:$H$73)*G170,0)*12</f>
        <v>0</v>
      </c>
      <c r="H194" s="373">
        <f t="shared" si="99"/>
        <v>0</v>
      </c>
      <c r="I194" s="373">
        <f t="shared" si="99"/>
        <v>0</v>
      </c>
      <c r="J194" s="373">
        <f t="shared" si="99"/>
        <v>0</v>
      </c>
      <c r="K194" s="373">
        <f t="shared" si="99"/>
        <v>0</v>
      </c>
      <c r="L194" s="373">
        <f t="shared" si="99"/>
        <v>1014</v>
      </c>
      <c r="M194" s="373">
        <f t="shared" si="99"/>
        <v>1014</v>
      </c>
      <c r="N194" s="373">
        <f t="shared" si="99"/>
        <v>1014</v>
      </c>
      <c r="O194" s="373">
        <f t="shared" si="99"/>
        <v>1014</v>
      </c>
      <c r="P194" s="373">
        <f t="shared" si="99"/>
        <v>1014</v>
      </c>
      <c r="Q194" s="373">
        <f t="shared" si="99"/>
        <v>1014</v>
      </c>
      <c r="R194" s="373">
        <f t="shared" si="99"/>
        <v>1014</v>
      </c>
      <c r="S194" s="373">
        <f t="shared" si="99"/>
        <v>1014</v>
      </c>
      <c r="T194" s="373">
        <f t="shared" si="99"/>
        <v>1014</v>
      </c>
      <c r="U194" s="373">
        <f t="shared" si="99"/>
        <v>1014</v>
      </c>
      <c r="V194" s="373">
        <f t="shared" si="99"/>
        <v>1014</v>
      </c>
      <c r="W194" s="373">
        <f t="shared" si="99"/>
        <v>1014</v>
      </c>
      <c r="X194" s="373">
        <f t="shared" si="99"/>
        <v>1014</v>
      </c>
      <c r="Y194" s="373">
        <f t="shared" si="99"/>
        <v>1014</v>
      </c>
      <c r="Z194" s="373">
        <f t="shared" si="99"/>
        <v>1014</v>
      </c>
      <c r="AA194" s="373">
        <f t="shared" si="99"/>
        <v>1014</v>
      </c>
      <c r="AB194" s="373">
        <f t="shared" si="99"/>
        <v>1014</v>
      </c>
      <c r="AC194" s="373">
        <f t="shared" si="99"/>
        <v>1014</v>
      </c>
      <c r="AD194" s="373">
        <f t="shared" si="99"/>
        <v>1014</v>
      </c>
      <c r="AE194" s="373">
        <f t="shared" si="99"/>
        <v>1014</v>
      </c>
      <c r="AF194" s="373">
        <f t="shared" si="99"/>
        <v>1014</v>
      </c>
      <c r="AG194" s="373">
        <f t="shared" si="99"/>
        <v>1014</v>
      </c>
      <c r="AH194" s="373">
        <f t="shared" si="99"/>
        <v>1014</v>
      </c>
      <c r="AI194" s="373">
        <f t="shared" si="99"/>
        <v>1014</v>
      </c>
      <c r="AJ194" s="373"/>
    </row>
    <row r="195" spans="1:36" s="357" customFormat="1" ht="12">
      <c r="B195" s="477" t="str">
        <f>B11</f>
        <v>ETE Verde</v>
      </c>
      <c r="C195" s="502" t="s">
        <v>5</v>
      </c>
      <c r="F195" s="373">
        <f>_xlfn.XLOOKUP($B195,$D$66:$H$66,$D$67:$H$67)*ROUNDUP(_xlfn.XLOOKUP($B195,$D$71:$H$71,$D$73:$H$73)*F171,0)*12</f>
        <v>0</v>
      </c>
      <c r="G195" s="373">
        <f t="shared" ref="G195:AI195" si="100">_xlfn.XLOOKUP($B195,$D$66:$H$66,$D$67:$H$67)*ROUNDUP(_xlfn.XLOOKUP($B195,$D$71:$H$71,$D$73:$H$73)*G171,0)*12</f>
        <v>0</v>
      </c>
      <c r="H195" s="373">
        <f t="shared" si="100"/>
        <v>0</v>
      </c>
      <c r="I195" s="373">
        <f t="shared" si="100"/>
        <v>0</v>
      </c>
      <c r="J195" s="373">
        <f t="shared" si="100"/>
        <v>0</v>
      </c>
      <c r="K195" s="373">
        <f t="shared" si="100"/>
        <v>0</v>
      </c>
      <c r="L195" s="373">
        <f t="shared" si="100"/>
        <v>0</v>
      </c>
      <c r="M195" s="373">
        <f t="shared" si="100"/>
        <v>5070</v>
      </c>
      <c r="N195" s="373">
        <f t="shared" si="100"/>
        <v>9126</v>
      </c>
      <c r="O195" s="373">
        <f t="shared" si="100"/>
        <v>9126</v>
      </c>
      <c r="P195" s="373">
        <f t="shared" si="100"/>
        <v>9126</v>
      </c>
      <c r="Q195" s="373">
        <f t="shared" si="100"/>
        <v>9126</v>
      </c>
      <c r="R195" s="373">
        <f t="shared" si="100"/>
        <v>9126</v>
      </c>
      <c r="S195" s="373">
        <f t="shared" si="100"/>
        <v>9126</v>
      </c>
      <c r="T195" s="373">
        <f t="shared" si="100"/>
        <v>9126</v>
      </c>
      <c r="U195" s="373">
        <f t="shared" si="100"/>
        <v>9126</v>
      </c>
      <c r="V195" s="373">
        <f t="shared" si="100"/>
        <v>9126</v>
      </c>
      <c r="W195" s="373">
        <f t="shared" si="100"/>
        <v>9126</v>
      </c>
      <c r="X195" s="373">
        <f t="shared" si="100"/>
        <v>9126</v>
      </c>
      <c r="Y195" s="373">
        <f t="shared" si="100"/>
        <v>9126</v>
      </c>
      <c r="Z195" s="373">
        <f t="shared" si="100"/>
        <v>9126</v>
      </c>
      <c r="AA195" s="373">
        <f t="shared" si="100"/>
        <v>9126</v>
      </c>
      <c r="AB195" s="373">
        <f t="shared" si="100"/>
        <v>9126</v>
      </c>
      <c r="AC195" s="373">
        <f t="shared" si="100"/>
        <v>9126</v>
      </c>
      <c r="AD195" s="373">
        <f t="shared" si="100"/>
        <v>9126</v>
      </c>
      <c r="AE195" s="373">
        <f t="shared" si="100"/>
        <v>9126</v>
      </c>
      <c r="AF195" s="373">
        <f t="shared" si="100"/>
        <v>9126</v>
      </c>
      <c r="AG195" s="373">
        <f t="shared" si="100"/>
        <v>9126</v>
      </c>
      <c r="AH195" s="373">
        <f t="shared" si="100"/>
        <v>9126</v>
      </c>
      <c r="AI195" s="373">
        <f t="shared" si="100"/>
        <v>9126</v>
      </c>
      <c r="AJ195" s="373"/>
    </row>
    <row r="198" spans="1:36" s="357" customFormat="1" ht="12">
      <c r="B198" s="357" t="s">
        <v>142</v>
      </c>
      <c r="E198" s="487">
        <f t="shared" ref="E198:AI198" si="101">E124+E134</f>
        <v>0</v>
      </c>
      <c r="F198" s="487">
        <f t="shared" si="101"/>
        <v>27551.613564179606</v>
      </c>
      <c r="G198" s="487">
        <f t="shared" si="101"/>
        <v>28240.403903284096</v>
      </c>
      <c r="H198" s="487">
        <f t="shared" si="101"/>
        <v>3525.6034439397495</v>
      </c>
      <c r="I198" s="487">
        <f t="shared" si="101"/>
        <v>54707.097169189816</v>
      </c>
      <c r="J198" s="487">
        <f t="shared" si="101"/>
        <v>72068.37905762624</v>
      </c>
      <c r="K198" s="487">
        <f t="shared" si="101"/>
        <v>41005.966937467252</v>
      </c>
      <c r="L198" s="487">
        <f t="shared" si="101"/>
        <v>25411.996060486232</v>
      </c>
      <c r="M198" s="487">
        <f t="shared" si="101"/>
        <v>8772.6769495303743</v>
      </c>
      <c r="N198" s="487">
        <f t="shared" si="101"/>
        <v>7173.5933350419127</v>
      </c>
      <c r="O198" s="487">
        <f t="shared" si="101"/>
        <v>6010.0810036044122</v>
      </c>
      <c r="P198" s="487">
        <f t="shared" si="101"/>
        <v>6010.0810036044122</v>
      </c>
      <c r="Q198" s="487">
        <f t="shared" si="101"/>
        <v>6010.0810036044122</v>
      </c>
      <c r="R198" s="487">
        <f t="shared" si="101"/>
        <v>6010.0810036044122</v>
      </c>
      <c r="S198" s="487">
        <f t="shared" si="101"/>
        <v>6010.0810036044122</v>
      </c>
      <c r="T198" s="487">
        <f t="shared" si="101"/>
        <v>6010.0810036044122</v>
      </c>
      <c r="U198" s="487">
        <f t="shared" si="101"/>
        <v>6010.0810036044122</v>
      </c>
      <c r="V198" s="487">
        <f t="shared" si="101"/>
        <v>6010.0810036044122</v>
      </c>
      <c r="W198" s="487">
        <f t="shared" si="101"/>
        <v>6010.0810036044122</v>
      </c>
      <c r="X198" s="487">
        <f t="shared" si="101"/>
        <v>6010.0810036044122</v>
      </c>
      <c r="Y198" s="487">
        <f t="shared" si="101"/>
        <v>6010.0810036044122</v>
      </c>
      <c r="Z198" s="487">
        <f t="shared" si="101"/>
        <v>6010.0810036044122</v>
      </c>
      <c r="AA198" s="487">
        <f t="shared" si="101"/>
        <v>6010.0810036044122</v>
      </c>
      <c r="AB198" s="487">
        <f t="shared" si="101"/>
        <v>6010.0810036044122</v>
      </c>
      <c r="AC198" s="487">
        <f t="shared" si="101"/>
        <v>6010.0810036044122</v>
      </c>
      <c r="AD198" s="487">
        <f t="shared" si="101"/>
        <v>6010.0810036044122</v>
      </c>
      <c r="AE198" s="487">
        <f t="shared" si="101"/>
        <v>6010.0810036044122</v>
      </c>
      <c r="AF198" s="487">
        <f t="shared" si="101"/>
        <v>6010.0810036044122</v>
      </c>
      <c r="AG198" s="487">
        <f t="shared" si="101"/>
        <v>6010.0810036044122</v>
      </c>
      <c r="AH198" s="487">
        <f t="shared" si="101"/>
        <v>6010.0810036044122</v>
      </c>
      <c r="AI198" s="487">
        <f t="shared" si="101"/>
        <v>6010.0810036044122</v>
      </c>
    </row>
    <row r="199" spans="1:36" s="357" customFormat="1" ht="12">
      <c r="C199" s="357" t="s">
        <v>670</v>
      </c>
      <c r="E199" s="487"/>
      <c r="F199" s="487"/>
      <c r="G199" s="487"/>
      <c r="H199" s="487"/>
      <c r="I199" s="487"/>
      <c r="J199" s="487"/>
      <c r="K199" s="487"/>
      <c r="L199" s="487"/>
      <c r="M199" s="487"/>
      <c r="N199" s="487"/>
      <c r="O199" s="487"/>
      <c r="P199" s="487"/>
      <c r="Q199" s="487"/>
      <c r="R199" s="487"/>
      <c r="S199" s="487"/>
      <c r="T199" s="487"/>
      <c r="U199" s="487"/>
      <c r="V199" s="487"/>
      <c r="W199" s="487"/>
      <c r="X199" s="487"/>
      <c r="Y199" s="487"/>
      <c r="Z199" s="487"/>
      <c r="AA199" s="487"/>
      <c r="AB199" s="487"/>
      <c r="AC199" s="487"/>
      <c r="AD199" s="487"/>
      <c r="AE199" s="487"/>
      <c r="AF199" s="487"/>
      <c r="AG199" s="487"/>
      <c r="AH199" s="487"/>
      <c r="AI199" s="487"/>
    </row>
    <row r="200" spans="1:36" s="357" customFormat="1" ht="12">
      <c r="A200" s="504" cm="1">
        <f t="array" ref="A200:A230">TRANSPOSE(_xlfn.ANCHORARRAY(E1))</f>
        <v>0</v>
      </c>
      <c r="B200" s="357" cm="1">
        <f t="array" ref="B200:B230">TRANSPOSE(E198:AI198)</f>
        <v>0</v>
      </c>
      <c r="C200" s="453">
        <v>25</v>
      </c>
      <c r="E200" s="487">
        <f>IF(AND(E$1&gt;$A200,E$1&lt;=$A200+$C200),$B200/$C200,0)</f>
        <v>0</v>
      </c>
      <c r="F200" s="487">
        <f t="shared" ref="F200:AI200" si="102">IF(AND(F$1&gt;$A200,F$1&lt;=$A200+$C200),$B200/$C200,0)</f>
        <v>0</v>
      </c>
      <c r="G200" s="487">
        <f t="shared" si="102"/>
        <v>0</v>
      </c>
      <c r="H200" s="487">
        <f t="shared" si="102"/>
        <v>0</v>
      </c>
      <c r="I200" s="487">
        <f t="shared" si="102"/>
        <v>0</v>
      </c>
      <c r="J200" s="487">
        <f t="shared" si="102"/>
        <v>0</v>
      </c>
      <c r="K200" s="487">
        <f t="shared" si="102"/>
        <v>0</v>
      </c>
      <c r="L200" s="487">
        <f t="shared" si="102"/>
        <v>0</v>
      </c>
      <c r="M200" s="487">
        <f t="shared" si="102"/>
        <v>0</v>
      </c>
      <c r="N200" s="487">
        <f t="shared" si="102"/>
        <v>0</v>
      </c>
      <c r="O200" s="487">
        <f t="shared" si="102"/>
        <v>0</v>
      </c>
      <c r="P200" s="487">
        <f t="shared" si="102"/>
        <v>0</v>
      </c>
      <c r="Q200" s="487">
        <f t="shared" si="102"/>
        <v>0</v>
      </c>
      <c r="R200" s="487">
        <f t="shared" si="102"/>
        <v>0</v>
      </c>
      <c r="S200" s="487">
        <f t="shared" si="102"/>
        <v>0</v>
      </c>
      <c r="T200" s="487">
        <f t="shared" si="102"/>
        <v>0</v>
      </c>
      <c r="U200" s="487">
        <f t="shared" si="102"/>
        <v>0</v>
      </c>
      <c r="V200" s="487">
        <f t="shared" si="102"/>
        <v>0</v>
      </c>
      <c r="W200" s="487">
        <f t="shared" si="102"/>
        <v>0</v>
      </c>
      <c r="X200" s="487">
        <f t="shared" si="102"/>
        <v>0</v>
      </c>
      <c r="Y200" s="487">
        <f t="shared" si="102"/>
        <v>0</v>
      </c>
      <c r="Z200" s="487">
        <f t="shared" si="102"/>
        <v>0</v>
      </c>
      <c r="AA200" s="487">
        <f t="shared" si="102"/>
        <v>0</v>
      </c>
      <c r="AB200" s="487">
        <f t="shared" si="102"/>
        <v>0</v>
      </c>
      <c r="AC200" s="487">
        <f t="shared" si="102"/>
        <v>0</v>
      </c>
      <c r="AD200" s="487">
        <f t="shared" si="102"/>
        <v>0</v>
      </c>
      <c r="AE200" s="487">
        <f t="shared" si="102"/>
        <v>0</v>
      </c>
      <c r="AF200" s="487">
        <f t="shared" si="102"/>
        <v>0</v>
      </c>
      <c r="AG200" s="487">
        <f t="shared" si="102"/>
        <v>0</v>
      </c>
      <c r="AH200" s="487">
        <f t="shared" si="102"/>
        <v>0</v>
      </c>
      <c r="AI200" s="487">
        <f t="shared" si="102"/>
        <v>0</v>
      </c>
    </row>
    <row r="201" spans="1:36" s="357" customFormat="1" ht="12">
      <c r="A201" s="504">
        <v>1</v>
      </c>
      <c r="B201" s="393">
        <v>27551.613564179606</v>
      </c>
      <c r="C201" s="453">
        <v>25</v>
      </c>
      <c r="D201" s="393"/>
      <c r="E201" s="373">
        <f>IF(AND(E$1&gt;$A201,E$1&lt;=$A201+$C201),$B201/$C201,0)</f>
        <v>0</v>
      </c>
      <c r="F201" s="373">
        <f t="shared" ref="F201:AI209" si="103">IF(AND(F$1&gt;$A201,F$1&lt;=$A201+$C201),$B201/$C201,0)</f>
        <v>0</v>
      </c>
      <c r="G201" s="373">
        <f>IF(AND(G$1&gt;$A201,G$1&lt;=$A201+$C201),$B201/$C201,0)</f>
        <v>1102.0645425671842</v>
      </c>
      <c r="H201" s="373">
        <f t="shared" si="103"/>
        <v>1102.0645425671842</v>
      </c>
      <c r="I201" s="373">
        <f t="shared" si="103"/>
        <v>1102.0645425671842</v>
      </c>
      <c r="J201" s="373">
        <f t="shared" si="103"/>
        <v>1102.0645425671842</v>
      </c>
      <c r="K201" s="373">
        <f t="shared" si="103"/>
        <v>1102.0645425671842</v>
      </c>
      <c r="L201" s="373">
        <f t="shared" si="103"/>
        <v>1102.0645425671842</v>
      </c>
      <c r="M201" s="373">
        <f t="shared" si="103"/>
        <v>1102.0645425671842</v>
      </c>
      <c r="N201" s="373">
        <f t="shared" si="103"/>
        <v>1102.0645425671842</v>
      </c>
      <c r="O201" s="373">
        <f t="shared" si="103"/>
        <v>1102.0645425671842</v>
      </c>
      <c r="P201" s="373">
        <f t="shared" si="103"/>
        <v>1102.0645425671842</v>
      </c>
      <c r="Q201" s="373">
        <f t="shared" si="103"/>
        <v>1102.0645425671842</v>
      </c>
      <c r="R201" s="373">
        <f t="shared" si="103"/>
        <v>1102.0645425671842</v>
      </c>
      <c r="S201" s="373">
        <f t="shared" si="103"/>
        <v>1102.0645425671842</v>
      </c>
      <c r="T201" s="373">
        <f t="shared" si="103"/>
        <v>1102.0645425671842</v>
      </c>
      <c r="U201" s="373">
        <f t="shared" si="103"/>
        <v>1102.0645425671842</v>
      </c>
      <c r="V201" s="373">
        <f t="shared" si="103"/>
        <v>1102.0645425671842</v>
      </c>
      <c r="W201" s="373">
        <f t="shared" si="103"/>
        <v>1102.0645425671842</v>
      </c>
      <c r="X201" s="373">
        <f t="shared" si="103"/>
        <v>1102.0645425671842</v>
      </c>
      <c r="Y201" s="373">
        <f t="shared" si="103"/>
        <v>1102.0645425671842</v>
      </c>
      <c r="Z201" s="373">
        <f t="shared" si="103"/>
        <v>1102.0645425671842</v>
      </c>
      <c r="AA201" s="373">
        <f t="shared" si="103"/>
        <v>1102.0645425671842</v>
      </c>
      <c r="AB201" s="373">
        <f t="shared" si="103"/>
        <v>1102.0645425671842</v>
      </c>
      <c r="AC201" s="373">
        <f t="shared" si="103"/>
        <v>1102.0645425671842</v>
      </c>
      <c r="AD201" s="373">
        <f t="shared" si="103"/>
        <v>1102.0645425671842</v>
      </c>
      <c r="AE201" s="373">
        <f t="shared" si="103"/>
        <v>1102.0645425671842</v>
      </c>
      <c r="AF201" s="373">
        <f t="shared" si="103"/>
        <v>0</v>
      </c>
      <c r="AG201" s="373">
        <f t="shared" si="103"/>
        <v>0</v>
      </c>
      <c r="AH201" s="373">
        <f t="shared" si="103"/>
        <v>0</v>
      </c>
      <c r="AI201" s="373">
        <f t="shared" si="103"/>
        <v>0</v>
      </c>
      <c r="AJ201" s="393"/>
    </row>
    <row r="202" spans="1:36" s="357" customFormat="1" ht="12">
      <c r="A202" s="504">
        <v>2</v>
      </c>
      <c r="B202" s="393">
        <v>28240.403903284096</v>
      </c>
      <c r="C202" s="453">
        <v>25</v>
      </c>
      <c r="D202" s="393"/>
      <c r="E202" s="373">
        <f t="shared" ref="E202:T225" si="104">IF(AND(E$1&gt;$A202,E$1&lt;=$A202+$C202),$B202/$C202,0)</f>
        <v>0</v>
      </c>
      <c r="F202" s="373">
        <f t="shared" si="103"/>
        <v>0</v>
      </c>
      <c r="G202" s="373">
        <f t="shared" si="103"/>
        <v>0</v>
      </c>
      <c r="H202" s="373">
        <f t="shared" si="103"/>
        <v>1129.6161561313638</v>
      </c>
      <c r="I202" s="373">
        <f t="shared" si="103"/>
        <v>1129.6161561313638</v>
      </c>
      <c r="J202" s="373">
        <f t="shared" si="103"/>
        <v>1129.6161561313638</v>
      </c>
      <c r="K202" s="373">
        <f t="shared" si="103"/>
        <v>1129.6161561313638</v>
      </c>
      <c r="L202" s="373">
        <f t="shared" si="103"/>
        <v>1129.6161561313638</v>
      </c>
      <c r="M202" s="373">
        <f t="shared" si="103"/>
        <v>1129.6161561313638</v>
      </c>
      <c r="N202" s="373">
        <f t="shared" si="103"/>
        <v>1129.6161561313638</v>
      </c>
      <c r="O202" s="373">
        <f t="shared" si="103"/>
        <v>1129.6161561313638</v>
      </c>
      <c r="P202" s="373">
        <f t="shared" si="103"/>
        <v>1129.6161561313638</v>
      </c>
      <c r="Q202" s="373">
        <f t="shared" si="103"/>
        <v>1129.6161561313638</v>
      </c>
      <c r="R202" s="373">
        <f t="shared" si="103"/>
        <v>1129.6161561313638</v>
      </c>
      <c r="S202" s="373">
        <f t="shared" si="103"/>
        <v>1129.6161561313638</v>
      </c>
      <c r="T202" s="373">
        <f t="shared" si="103"/>
        <v>1129.6161561313638</v>
      </c>
      <c r="U202" s="373">
        <f t="shared" si="103"/>
        <v>1129.6161561313638</v>
      </c>
      <c r="V202" s="373">
        <f t="shared" si="103"/>
        <v>1129.6161561313638</v>
      </c>
      <c r="W202" s="373">
        <f t="shared" si="103"/>
        <v>1129.6161561313638</v>
      </c>
      <c r="X202" s="373">
        <f t="shared" si="103"/>
        <v>1129.6161561313638</v>
      </c>
      <c r="Y202" s="373">
        <f t="shared" si="103"/>
        <v>1129.6161561313638</v>
      </c>
      <c r="Z202" s="373">
        <f t="shared" si="103"/>
        <v>1129.6161561313638</v>
      </c>
      <c r="AA202" s="373">
        <f t="shared" si="103"/>
        <v>1129.6161561313638</v>
      </c>
      <c r="AB202" s="373">
        <f t="shared" si="103"/>
        <v>1129.6161561313638</v>
      </c>
      <c r="AC202" s="373">
        <f t="shared" si="103"/>
        <v>1129.6161561313638</v>
      </c>
      <c r="AD202" s="373">
        <f t="shared" si="103"/>
        <v>1129.6161561313638</v>
      </c>
      <c r="AE202" s="373">
        <f t="shared" si="103"/>
        <v>1129.6161561313638</v>
      </c>
      <c r="AF202" s="373">
        <f t="shared" si="103"/>
        <v>1129.6161561313638</v>
      </c>
      <c r="AG202" s="373">
        <f t="shared" si="103"/>
        <v>0</v>
      </c>
      <c r="AH202" s="373">
        <f t="shared" si="103"/>
        <v>0</v>
      </c>
      <c r="AI202" s="373">
        <f t="shared" si="103"/>
        <v>0</v>
      </c>
      <c r="AJ202" s="393"/>
    </row>
    <row r="203" spans="1:36" s="357" customFormat="1" ht="12">
      <c r="A203" s="504">
        <v>3</v>
      </c>
      <c r="B203" s="393">
        <v>3525.6034439397495</v>
      </c>
      <c r="C203" s="453">
        <v>25</v>
      </c>
      <c r="D203" s="393"/>
      <c r="E203" s="373">
        <f t="shared" si="104"/>
        <v>0</v>
      </c>
      <c r="F203" s="373">
        <f t="shared" si="103"/>
        <v>0</v>
      </c>
      <c r="G203" s="373">
        <f t="shared" si="103"/>
        <v>0</v>
      </c>
      <c r="H203" s="373">
        <f t="shared" si="103"/>
        <v>0</v>
      </c>
      <c r="I203" s="373">
        <f t="shared" si="103"/>
        <v>141.02413775758998</v>
      </c>
      <c r="J203" s="373">
        <f t="shared" si="103"/>
        <v>141.02413775758998</v>
      </c>
      <c r="K203" s="373">
        <f t="shared" si="103"/>
        <v>141.02413775758998</v>
      </c>
      <c r="L203" s="373">
        <f t="shared" si="103"/>
        <v>141.02413775758998</v>
      </c>
      <c r="M203" s="373">
        <f t="shared" si="103"/>
        <v>141.02413775758998</v>
      </c>
      <c r="N203" s="373">
        <f t="shared" si="103"/>
        <v>141.02413775758998</v>
      </c>
      <c r="O203" s="373">
        <f t="shared" si="103"/>
        <v>141.02413775758998</v>
      </c>
      <c r="P203" s="373">
        <f t="shared" si="103"/>
        <v>141.02413775758998</v>
      </c>
      <c r="Q203" s="373">
        <f t="shared" si="103"/>
        <v>141.02413775758998</v>
      </c>
      <c r="R203" s="373">
        <f t="shared" si="103"/>
        <v>141.02413775758998</v>
      </c>
      <c r="S203" s="373">
        <f t="shared" si="103"/>
        <v>141.02413775758998</v>
      </c>
      <c r="T203" s="373">
        <f t="shared" si="103"/>
        <v>141.02413775758998</v>
      </c>
      <c r="U203" s="373">
        <f t="shared" si="103"/>
        <v>141.02413775758998</v>
      </c>
      <c r="V203" s="373">
        <f t="shared" si="103"/>
        <v>141.02413775758998</v>
      </c>
      <c r="W203" s="373">
        <f t="shared" si="103"/>
        <v>141.02413775758998</v>
      </c>
      <c r="X203" s="373">
        <f t="shared" si="103"/>
        <v>141.02413775758998</v>
      </c>
      <c r="Y203" s="373">
        <f t="shared" si="103"/>
        <v>141.02413775758998</v>
      </c>
      <c r="Z203" s="373">
        <f t="shared" si="103"/>
        <v>141.02413775758998</v>
      </c>
      <c r="AA203" s="373">
        <f t="shared" si="103"/>
        <v>141.02413775758998</v>
      </c>
      <c r="AB203" s="373">
        <f t="shared" si="103"/>
        <v>141.02413775758998</v>
      </c>
      <c r="AC203" s="373">
        <f t="shared" si="103"/>
        <v>141.02413775758998</v>
      </c>
      <c r="AD203" s="373">
        <f t="shared" si="103"/>
        <v>141.02413775758998</v>
      </c>
      <c r="AE203" s="373">
        <f t="shared" si="103"/>
        <v>141.02413775758998</v>
      </c>
      <c r="AF203" s="373">
        <f t="shared" si="103"/>
        <v>141.02413775758998</v>
      </c>
      <c r="AG203" s="373">
        <f t="shared" si="103"/>
        <v>141.02413775758998</v>
      </c>
      <c r="AH203" s="373">
        <f t="shared" si="103"/>
        <v>0</v>
      </c>
      <c r="AI203" s="373">
        <f t="shared" si="103"/>
        <v>0</v>
      </c>
      <c r="AJ203" s="393"/>
    </row>
    <row r="204" spans="1:36" s="357" customFormat="1" ht="12">
      <c r="A204" s="504">
        <v>4</v>
      </c>
      <c r="B204" s="393">
        <v>54707.097169189816</v>
      </c>
      <c r="C204" s="453">
        <v>25</v>
      </c>
      <c r="D204" s="393"/>
      <c r="E204" s="373">
        <f t="shared" si="104"/>
        <v>0</v>
      </c>
      <c r="F204" s="373">
        <f t="shared" si="103"/>
        <v>0</v>
      </c>
      <c r="G204" s="373">
        <f t="shared" si="103"/>
        <v>0</v>
      </c>
      <c r="H204" s="373">
        <f t="shared" si="103"/>
        <v>0</v>
      </c>
      <c r="I204" s="373">
        <f t="shared" si="103"/>
        <v>0</v>
      </c>
      <c r="J204" s="373">
        <f t="shared" si="103"/>
        <v>2188.2838867675928</v>
      </c>
      <c r="K204" s="373">
        <f t="shared" si="103"/>
        <v>2188.2838867675928</v>
      </c>
      <c r="L204" s="373">
        <f t="shared" si="103"/>
        <v>2188.2838867675928</v>
      </c>
      <c r="M204" s="373">
        <f t="shared" si="103"/>
        <v>2188.2838867675928</v>
      </c>
      <c r="N204" s="373">
        <f t="shared" si="103"/>
        <v>2188.2838867675928</v>
      </c>
      <c r="O204" s="373">
        <f t="shared" si="103"/>
        <v>2188.2838867675928</v>
      </c>
      <c r="P204" s="373">
        <f t="shared" si="103"/>
        <v>2188.2838867675928</v>
      </c>
      <c r="Q204" s="373">
        <f t="shared" si="103"/>
        <v>2188.2838867675928</v>
      </c>
      <c r="R204" s="373">
        <f t="shared" si="103"/>
        <v>2188.2838867675928</v>
      </c>
      <c r="S204" s="373">
        <f t="shared" si="103"/>
        <v>2188.2838867675928</v>
      </c>
      <c r="T204" s="373">
        <f t="shared" si="103"/>
        <v>2188.2838867675928</v>
      </c>
      <c r="U204" s="373">
        <f t="shared" si="103"/>
        <v>2188.2838867675928</v>
      </c>
      <c r="V204" s="373">
        <f t="shared" si="103"/>
        <v>2188.2838867675928</v>
      </c>
      <c r="W204" s="373">
        <f t="shared" si="103"/>
        <v>2188.2838867675928</v>
      </c>
      <c r="X204" s="373">
        <f t="shared" si="103"/>
        <v>2188.2838867675928</v>
      </c>
      <c r="Y204" s="373">
        <f t="shared" si="103"/>
        <v>2188.2838867675928</v>
      </c>
      <c r="Z204" s="373">
        <f t="shared" si="103"/>
        <v>2188.2838867675928</v>
      </c>
      <c r="AA204" s="373">
        <f t="shared" si="103"/>
        <v>2188.2838867675928</v>
      </c>
      <c r="AB204" s="373">
        <f t="shared" si="103"/>
        <v>2188.2838867675928</v>
      </c>
      <c r="AC204" s="373">
        <f t="shared" si="103"/>
        <v>2188.2838867675928</v>
      </c>
      <c r="AD204" s="373">
        <f t="shared" si="103"/>
        <v>2188.2838867675928</v>
      </c>
      <c r="AE204" s="373">
        <f t="shared" si="103"/>
        <v>2188.2838867675928</v>
      </c>
      <c r="AF204" s="373">
        <f t="shared" si="103"/>
        <v>2188.2838867675928</v>
      </c>
      <c r="AG204" s="373">
        <f t="shared" si="103"/>
        <v>2188.2838867675928</v>
      </c>
      <c r="AH204" s="373">
        <f t="shared" si="103"/>
        <v>2188.2838867675928</v>
      </c>
      <c r="AI204" s="373">
        <f t="shared" si="103"/>
        <v>0</v>
      </c>
      <c r="AJ204" s="393"/>
    </row>
    <row r="205" spans="1:36" s="357" customFormat="1" ht="12">
      <c r="A205" s="504">
        <v>5</v>
      </c>
      <c r="B205" s="393">
        <v>72068.37905762624</v>
      </c>
      <c r="C205" s="453">
        <v>25</v>
      </c>
      <c r="D205" s="393"/>
      <c r="E205" s="373">
        <f t="shared" si="104"/>
        <v>0</v>
      </c>
      <c r="F205" s="373">
        <f t="shared" si="103"/>
        <v>0</v>
      </c>
      <c r="G205" s="373">
        <f t="shared" si="103"/>
        <v>0</v>
      </c>
      <c r="H205" s="373">
        <f t="shared" si="103"/>
        <v>0</v>
      </c>
      <c r="I205" s="373">
        <f t="shared" si="103"/>
        <v>0</v>
      </c>
      <c r="J205" s="373">
        <f t="shared" si="103"/>
        <v>0</v>
      </c>
      <c r="K205" s="373">
        <f t="shared" si="103"/>
        <v>2882.7351623050495</v>
      </c>
      <c r="L205" s="373">
        <f t="shared" si="103"/>
        <v>2882.7351623050495</v>
      </c>
      <c r="M205" s="373">
        <f t="shared" si="103"/>
        <v>2882.7351623050495</v>
      </c>
      <c r="N205" s="373">
        <f t="shared" si="103"/>
        <v>2882.7351623050495</v>
      </c>
      <c r="O205" s="373">
        <f t="shared" si="103"/>
        <v>2882.7351623050495</v>
      </c>
      <c r="P205" s="373">
        <f t="shared" si="103"/>
        <v>2882.7351623050495</v>
      </c>
      <c r="Q205" s="373">
        <f t="shared" si="103"/>
        <v>2882.7351623050495</v>
      </c>
      <c r="R205" s="373">
        <f t="shared" si="103"/>
        <v>2882.7351623050495</v>
      </c>
      <c r="S205" s="373">
        <f t="shared" si="103"/>
        <v>2882.7351623050495</v>
      </c>
      <c r="T205" s="373">
        <f t="shared" si="103"/>
        <v>2882.7351623050495</v>
      </c>
      <c r="U205" s="373">
        <f t="shared" si="103"/>
        <v>2882.7351623050495</v>
      </c>
      <c r="V205" s="373">
        <f t="shared" si="103"/>
        <v>2882.7351623050495</v>
      </c>
      <c r="W205" s="373">
        <f t="shared" si="103"/>
        <v>2882.7351623050495</v>
      </c>
      <c r="X205" s="373">
        <f t="shared" si="103"/>
        <v>2882.7351623050495</v>
      </c>
      <c r="Y205" s="373">
        <f t="shared" si="103"/>
        <v>2882.7351623050495</v>
      </c>
      <c r="Z205" s="373">
        <f t="shared" si="103"/>
        <v>2882.7351623050495</v>
      </c>
      <c r="AA205" s="373">
        <f t="shared" si="103"/>
        <v>2882.7351623050495</v>
      </c>
      <c r="AB205" s="373">
        <f t="shared" si="103"/>
        <v>2882.7351623050495</v>
      </c>
      <c r="AC205" s="373">
        <f t="shared" si="103"/>
        <v>2882.7351623050495</v>
      </c>
      <c r="AD205" s="373">
        <f t="shared" si="103"/>
        <v>2882.7351623050495</v>
      </c>
      <c r="AE205" s="373">
        <f t="shared" si="103"/>
        <v>2882.7351623050495</v>
      </c>
      <c r="AF205" s="373">
        <f t="shared" si="103"/>
        <v>2882.7351623050495</v>
      </c>
      <c r="AG205" s="373">
        <f t="shared" si="103"/>
        <v>2882.7351623050495</v>
      </c>
      <c r="AH205" s="373">
        <f t="shared" si="103"/>
        <v>2882.7351623050495</v>
      </c>
      <c r="AI205" s="373">
        <f t="shared" si="103"/>
        <v>2882.7351623050495</v>
      </c>
      <c r="AJ205" s="393"/>
    </row>
    <row r="206" spans="1:36" s="357" customFormat="1" ht="12">
      <c r="A206" s="504">
        <v>6</v>
      </c>
      <c r="B206" s="393">
        <v>41005.966937467252</v>
      </c>
      <c r="C206" s="453">
        <v>25</v>
      </c>
      <c r="D206" s="393"/>
      <c r="E206" s="373">
        <f t="shared" si="104"/>
        <v>0</v>
      </c>
      <c r="F206" s="373">
        <f t="shared" si="103"/>
        <v>0</v>
      </c>
      <c r="G206" s="373">
        <f t="shared" si="103"/>
        <v>0</v>
      </c>
      <c r="H206" s="373">
        <f t="shared" si="103"/>
        <v>0</v>
      </c>
      <c r="I206" s="373">
        <f t="shared" si="103"/>
        <v>0</v>
      </c>
      <c r="J206" s="373">
        <f t="shared" si="103"/>
        <v>0</v>
      </c>
      <c r="K206" s="373">
        <f t="shared" si="103"/>
        <v>0</v>
      </c>
      <c r="L206" s="373">
        <f t="shared" si="103"/>
        <v>1640.2386774986901</v>
      </c>
      <c r="M206" s="373">
        <f t="shared" si="103"/>
        <v>1640.2386774986901</v>
      </c>
      <c r="N206" s="373">
        <f t="shared" si="103"/>
        <v>1640.2386774986901</v>
      </c>
      <c r="O206" s="373">
        <f t="shared" si="103"/>
        <v>1640.2386774986901</v>
      </c>
      <c r="P206" s="373">
        <f t="shared" si="103"/>
        <v>1640.2386774986901</v>
      </c>
      <c r="Q206" s="373">
        <f t="shared" si="103"/>
        <v>1640.2386774986901</v>
      </c>
      <c r="R206" s="373">
        <f t="shared" si="103"/>
        <v>1640.2386774986901</v>
      </c>
      <c r="S206" s="373">
        <f t="shared" si="103"/>
        <v>1640.2386774986901</v>
      </c>
      <c r="T206" s="373">
        <f t="shared" si="103"/>
        <v>1640.2386774986901</v>
      </c>
      <c r="U206" s="373">
        <f t="shared" si="103"/>
        <v>1640.2386774986901</v>
      </c>
      <c r="V206" s="373">
        <f t="shared" si="103"/>
        <v>1640.2386774986901</v>
      </c>
      <c r="W206" s="373">
        <f t="shared" si="103"/>
        <v>1640.2386774986901</v>
      </c>
      <c r="X206" s="373">
        <f t="shared" si="103"/>
        <v>1640.2386774986901</v>
      </c>
      <c r="Y206" s="373">
        <f t="shared" si="103"/>
        <v>1640.2386774986901</v>
      </c>
      <c r="Z206" s="373">
        <f t="shared" si="103"/>
        <v>1640.2386774986901</v>
      </c>
      <c r="AA206" s="373">
        <f t="shared" si="103"/>
        <v>1640.2386774986901</v>
      </c>
      <c r="AB206" s="373">
        <f t="shared" si="103"/>
        <v>1640.2386774986901</v>
      </c>
      <c r="AC206" s="373">
        <f t="shared" si="103"/>
        <v>1640.2386774986901</v>
      </c>
      <c r="AD206" s="373">
        <f t="shared" si="103"/>
        <v>1640.2386774986901</v>
      </c>
      <c r="AE206" s="373">
        <f t="shared" si="103"/>
        <v>1640.2386774986901</v>
      </c>
      <c r="AF206" s="373">
        <f t="shared" si="103"/>
        <v>1640.2386774986901</v>
      </c>
      <c r="AG206" s="373">
        <f t="shared" si="103"/>
        <v>1640.2386774986901</v>
      </c>
      <c r="AH206" s="373">
        <f t="shared" si="103"/>
        <v>1640.2386774986901</v>
      </c>
      <c r="AI206" s="373">
        <f t="shared" si="103"/>
        <v>1640.2386774986901</v>
      </c>
      <c r="AJ206" s="393"/>
    </row>
    <row r="207" spans="1:36" s="357" customFormat="1" ht="12">
      <c r="A207" s="504">
        <v>7</v>
      </c>
      <c r="B207" s="393">
        <v>25411.996060486232</v>
      </c>
      <c r="C207" s="453">
        <v>25</v>
      </c>
      <c r="D207" s="393"/>
      <c r="E207" s="373">
        <f t="shared" si="104"/>
        <v>0</v>
      </c>
      <c r="F207" s="373">
        <f t="shared" si="103"/>
        <v>0</v>
      </c>
      <c r="G207" s="373">
        <f t="shared" si="103"/>
        <v>0</v>
      </c>
      <c r="H207" s="373">
        <f t="shared" si="103"/>
        <v>0</v>
      </c>
      <c r="I207" s="373">
        <f t="shared" si="103"/>
        <v>0</v>
      </c>
      <c r="J207" s="373">
        <f t="shared" si="103"/>
        <v>0</v>
      </c>
      <c r="K207" s="373">
        <f t="shared" si="103"/>
        <v>0</v>
      </c>
      <c r="L207" s="373">
        <f t="shared" si="103"/>
        <v>0</v>
      </c>
      <c r="M207" s="373">
        <f t="shared" si="103"/>
        <v>1016.4798424194493</v>
      </c>
      <c r="N207" s="373">
        <f t="shared" si="103"/>
        <v>1016.4798424194493</v>
      </c>
      <c r="O207" s="373">
        <f t="shared" si="103"/>
        <v>1016.4798424194493</v>
      </c>
      <c r="P207" s="373">
        <f t="shared" si="103"/>
        <v>1016.4798424194493</v>
      </c>
      <c r="Q207" s="373">
        <f t="shared" si="103"/>
        <v>1016.4798424194493</v>
      </c>
      <c r="R207" s="373">
        <f t="shared" si="103"/>
        <v>1016.4798424194493</v>
      </c>
      <c r="S207" s="373">
        <f t="shared" si="103"/>
        <v>1016.4798424194493</v>
      </c>
      <c r="T207" s="373">
        <f t="shared" si="103"/>
        <v>1016.4798424194493</v>
      </c>
      <c r="U207" s="373">
        <f t="shared" si="103"/>
        <v>1016.4798424194493</v>
      </c>
      <c r="V207" s="373">
        <f t="shared" si="103"/>
        <v>1016.4798424194493</v>
      </c>
      <c r="W207" s="373">
        <f t="shared" si="103"/>
        <v>1016.4798424194493</v>
      </c>
      <c r="X207" s="373">
        <f t="shared" si="103"/>
        <v>1016.4798424194493</v>
      </c>
      <c r="Y207" s="373">
        <f t="shared" si="103"/>
        <v>1016.4798424194493</v>
      </c>
      <c r="Z207" s="373">
        <f t="shared" si="103"/>
        <v>1016.4798424194493</v>
      </c>
      <c r="AA207" s="373">
        <f t="shared" si="103"/>
        <v>1016.4798424194493</v>
      </c>
      <c r="AB207" s="373">
        <f t="shared" si="103"/>
        <v>1016.4798424194493</v>
      </c>
      <c r="AC207" s="373">
        <f t="shared" si="103"/>
        <v>1016.4798424194493</v>
      </c>
      <c r="AD207" s="373">
        <f t="shared" si="103"/>
        <v>1016.4798424194493</v>
      </c>
      <c r="AE207" s="373">
        <f t="shared" si="103"/>
        <v>1016.4798424194493</v>
      </c>
      <c r="AF207" s="373">
        <f t="shared" si="103"/>
        <v>1016.4798424194493</v>
      </c>
      <c r="AG207" s="373">
        <f t="shared" si="103"/>
        <v>1016.4798424194493</v>
      </c>
      <c r="AH207" s="373">
        <f t="shared" si="103"/>
        <v>1016.4798424194493</v>
      </c>
      <c r="AI207" s="373">
        <f t="shared" si="103"/>
        <v>1016.4798424194493</v>
      </c>
      <c r="AJ207" s="393"/>
    </row>
    <row r="208" spans="1:36" s="357" customFormat="1" ht="12">
      <c r="A208" s="504">
        <v>8</v>
      </c>
      <c r="B208" s="393">
        <v>8772.6769495303743</v>
      </c>
      <c r="C208" s="453">
        <v>25</v>
      </c>
      <c r="D208" s="393"/>
      <c r="E208" s="373">
        <f t="shared" si="104"/>
        <v>0</v>
      </c>
      <c r="F208" s="373">
        <f t="shared" si="103"/>
        <v>0</v>
      </c>
      <c r="G208" s="373">
        <f t="shared" si="103"/>
        <v>0</v>
      </c>
      <c r="H208" s="373">
        <f t="shared" si="103"/>
        <v>0</v>
      </c>
      <c r="I208" s="373">
        <f t="shared" si="103"/>
        <v>0</v>
      </c>
      <c r="J208" s="373">
        <f t="shared" si="103"/>
        <v>0</v>
      </c>
      <c r="K208" s="373">
        <f t="shared" si="103"/>
        <v>0</v>
      </c>
      <c r="L208" s="373">
        <f t="shared" si="103"/>
        <v>0</v>
      </c>
      <c r="M208" s="373">
        <f t="shared" si="103"/>
        <v>0</v>
      </c>
      <c r="N208" s="373">
        <f t="shared" si="103"/>
        <v>350.90707798121497</v>
      </c>
      <c r="O208" s="373">
        <f t="shared" si="103"/>
        <v>350.90707798121497</v>
      </c>
      <c r="P208" s="373">
        <f t="shared" si="103"/>
        <v>350.90707798121497</v>
      </c>
      <c r="Q208" s="373">
        <f t="shared" si="103"/>
        <v>350.90707798121497</v>
      </c>
      <c r="R208" s="373">
        <f t="shared" si="103"/>
        <v>350.90707798121497</v>
      </c>
      <c r="S208" s="373">
        <f t="shared" si="103"/>
        <v>350.90707798121497</v>
      </c>
      <c r="T208" s="373">
        <f t="shared" si="103"/>
        <v>350.90707798121497</v>
      </c>
      <c r="U208" s="373">
        <f t="shared" si="103"/>
        <v>350.90707798121497</v>
      </c>
      <c r="V208" s="373">
        <f t="shared" si="103"/>
        <v>350.90707798121497</v>
      </c>
      <c r="W208" s="373">
        <f t="shared" si="103"/>
        <v>350.90707798121497</v>
      </c>
      <c r="X208" s="373">
        <f t="shared" si="103"/>
        <v>350.90707798121497</v>
      </c>
      <c r="Y208" s="373">
        <f t="shared" si="103"/>
        <v>350.90707798121497</v>
      </c>
      <c r="Z208" s="373">
        <f t="shared" si="103"/>
        <v>350.90707798121497</v>
      </c>
      <c r="AA208" s="373">
        <f t="shared" si="103"/>
        <v>350.90707798121497</v>
      </c>
      <c r="AB208" s="373">
        <f t="shared" si="103"/>
        <v>350.90707798121497</v>
      </c>
      <c r="AC208" s="373">
        <f t="shared" si="103"/>
        <v>350.90707798121497</v>
      </c>
      <c r="AD208" s="373">
        <f t="shared" si="103"/>
        <v>350.90707798121497</v>
      </c>
      <c r="AE208" s="373">
        <f t="shared" si="103"/>
        <v>350.90707798121497</v>
      </c>
      <c r="AF208" s="373">
        <f t="shared" si="103"/>
        <v>350.90707798121497</v>
      </c>
      <c r="AG208" s="373">
        <f t="shared" si="103"/>
        <v>350.90707798121497</v>
      </c>
      <c r="AH208" s="373">
        <f t="shared" si="103"/>
        <v>350.90707798121497</v>
      </c>
      <c r="AI208" s="373">
        <f t="shared" si="103"/>
        <v>350.90707798121497</v>
      </c>
      <c r="AJ208" s="393"/>
    </row>
    <row r="209" spans="1:36" s="357" customFormat="1" ht="12">
      <c r="A209" s="504">
        <v>9</v>
      </c>
      <c r="B209" s="393">
        <v>7173.5933350419127</v>
      </c>
      <c r="C209" s="453">
        <v>25</v>
      </c>
      <c r="D209" s="393"/>
      <c r="E209" s="373">
        <f t="shared" si="104"/>
        <v>0</v>
      </c>
      <c r="F209" s="373">
        <f t="shared" si="103"/>
        <v>0</v>
      </c>
      <c r="G209" s="373">
        <f t="shared" si="103"/>
        <v>0</v>
      </c>
      <c r="H209" s="373">
        <f t="shared" si="103"/>
        <v>0</v>
      </c>
      <c r="I209" s="373">
        <f t="shared" si="103"/>
        <v>0</v>
      </c>
      <c r="J209" s="373">
        <f t="shared" si="103"/>
        <v>0</v>
      </c>
      <c r="K209" s="373">
        <f t="shared" si="103"/>
        <v>0</v>
      </c>
      <c r="L209" s="373">
        <f t="shared" si="103"/>
        <v>0</v>
      </c>
      <c r="M209" s="373">
        <f t="shared" ref="M209:AB230" si="105">IF(AND(M$1&gt;$A209,M$1&lt;=$A209+$C209),$B209/$C209,0)</f>
        <v>0</v>
      </c>
      <c r="N209" s="373">
        <f t="shared" si="105"/>
        <v>0</v>
      </c>
      <c r="O209" s="373">
        <f t="shared" si="105"/>
        <v>286.94373340167652</v>
      </c>
      <c r="P209" s="373">
        <f t="shared" si="105"/>
        <v>286.94373340167652</v>
      </c>
      <c r="Q209" s="373">
        <f t="shared" si="105"/>
        <v>286.94373340167652</v>
      </c>
      <c r="R209" s="373">
        <f t="shared" si="105"/>
        <v>286.94373340167652</v>
      </c>
      <c r="S209" s="373">
        <f t="shared" si="105"/>
        <v>286.94373340167652</v>
      </c>
      <c r="T209" s="373">
        <f t="shared" si="105"/>
        <v>286.94373340167652</v>
      </c>
      <c r="U209" s="373">
        <f t="shared" si="105"/>
        <v>286.94373340167652</v>
      </c>
      <c r="V209" s="373">
        <f t="shared" si="105"/>
        <v>286.94373340167652</v>
      </c>
      <c r="W209" s="373">
        <f t="shared" si="105"/>
        <v>286.94373340167652</v>
      </c>
      <c r="X209" s="373">
        <f t="shared" si="105"/>
        <v>286.94373340167652</v>
      </c>
      <c r="Y209" s="373">
        <f t="shared" si="105"/>
        <v>286.94373340167652</v>
      </c>
      <c r="Z209" s="373">
        <f t="shared" si="105"/>
        <v>286.94373340167652</v>
      </c>
      <c r="AA209" s="373">
        <f t="shared" si="105"/>
        <v>286.94373340167652</v>
      </c>
      <c r="AB209" s="373">
        <f t="shared" si="105"/>
        <v>286.94373340167652</v>
      </c>
      <c r="AC209" s="373">
        <f t="shared" ref="AC209:AI230" si="106">IF(AND(AC$1&gt;$A209,AC$1&lt;=$A209+$C209),$B209/$C209,0)</f>
        <v>286.94373340167652</v>
      </c>
      <c r="AD209" s="373">
        <f t="shared" si="106"/>
        <v>286.94373340167652</v>
      </c>
      <c r="AE209" s="373">
        <f t="shared" si="106"/>
        <v>286.94373340167652</v>
      </c>
      <c r="AF209" s="373">
        <f t="shared" si="106"/>
        <v>286.94373340167652</v>
      </c>
      <c r="AG209" s="373">
        <f t="shared" si="106"/>
        <v>286.94373340167652</v>
      </c>
      <c r="AH209" s="373">
        <f t="shared" si="106"/>
        <v>286.94373340167652</v>
      </c>
      <c r="AI209" s="373">
        <f t="shared" si="106"/>
        <v>286.94373340167652</v>
      </c>
      <c r="AJ209" s="393"/>
    </row>
    <row r="210" spans="1:36" s="357" customFormat="1" ht="12">
      <c r="A210" s="504">
        <v>10</v>
      </c>
      <c r="B210" s="393">
        <v>6010.0810036044122</v>
      </c>
      <c r="C210" s="453">
        <v>25</v>
      </c>
      <c r="D210" s="393"/>
      <c r="E210" s="373">
        <f t="shared" si="104"/>
        <v>0</v>
      </c>
      <c r="F210" s="373">
        <f t="shared" si="104"/>
        <v>0</v>
      </c>
      <c r="G210" s="373">
        <f t="shared" si="104"/>
        <v>0</v>
      </c>
      <c r="H210" s="373">
        <f t="shared" si="104"/>
        <v>0</v>
      </c>
      <c r="I210" s="373">
        <f t="shared" si="104"/>
        <v>0</v>
      </c>
      <c r="J210" s="373">
        <f t="shared" si="104"/>
        <v>0</v>
      </c>
      <c r="K210" s="373">
        <f t="shared" si="104"/>
        <v>0</v>
      </c>
      <c r="L210" s="373">
        <f t="shared" si="104"/>
        <v>0</v>
      </c>
      <c r="M210" s="373">
        <f t="shared" si="104"/>
        <v>0</v>
      </c>
      <c r="N210" s="373">
        <f t="shared" si="104"/>
        <v>0</v>
      </c>
      <c r="O210" s="373">
        <f t="shared" si="104"/>
        <v>0</v>
      </c>
      <c r="P210" s="373">
        <f t="shared" si="104"/>
        <v>240.40324014417649</v>
      </c>
      <c r="Q210" s="373">
        <f t="shared" si="104"/>
        <v>240.40324014417649</v>
      </c>
      <c r="R210" s="373">
        <f t="shared" si="104"/>
        <v>240.40324014417649</v>
      </c>
      <c r="S210" s="373">
        <f t="shared" si="104"/>
        <v>240.40324014417649</v>
      </c>
      <c r="T210" s="373">
        <f t="shared" si="104"/>
        <v>240.40324014417649</v>
      </c>
      <c r="U210" s="373">
        <f t="shared" si="105"/>
        <v>240.40324014417649</v>
      </c>
      <c r="V210" s="373">
        <f t="shared" si="105"/>
        <v>240.40324014417649</v>
      </c>
      <c r="W210" s="373">
        <f t="shared" si="105"/>
        <v>240.40324014417649</v>
      </c>
      <c r="X210" s="373">
        <f t="shared" si="105"/>
        <v>240.40324014417649</v>
      </c>
      <c r="Y210" s="373">
        <f t="shared" si="105"/>
        <v>240.40324014417649</v>
      </c>
      <c r="Z210" s="373">
        <f t="shared" si="105"/>
        <v>240.40324014417649</v>
      </c>
      <c r="AA210" s="373">
        <f t="shared" si="105"/>
        <v>240.40324014417649</v>
      </c>
      <c r="AB210" s="373">
        <f t="shared" si="105"/>
        <v>240.40324014417649</v>
      </c>
      <c r="AC210" s="373">
        <f t="shared" si="106"/>
        <v>240.40324014417649</v>
      </c>
      <c r="AD210" s="373">
        <f t="shared" si="106"/>
        <v>240.40324014417649</v>
      </c>
      <c r="AE210" s="373">
        <f t="shared" si="106"/>
        <v>240.40324014417649</v>
      </c>
      <c r="AF210" s="373">
        <f t="shared" si="106"/>
        <v>240.40324014417649</v>
      </c>
      <c r="AG210" s="373">
        <f t="shared" si="106"/>
        <v>240.40324014417649</v>
      </c>
      <c r="AH210" s="373">
        <f t="shared" si="106"/>
        <v>240.40324014417649</v>
      </c>
      <c r="AI210" s="373">
        <f t="shared" si="106"/>
        <v>240.40324014417649</v>
      </c>
      <c r="AJ210" s="393"/>
    </row>
    <row r="211" spans="1:36" s="357" customFormat="1" ht="12">
      <c r="A211" s="504">
        <v>11</v>
      </c>
      <c r="B211" s="393">
        <v>6010.0810036044122</v>
      </c>
      <c r="C211" s="453">
        <v>25</v>
      </c>
      <c r="D211" s="393"/>
      <c r="E211" s="373">
        <f t="shared" si="104"/>
        <v>0</v>
      </c>
      <c r="F211" s="373">
        <f t="shared" si="104"/>
        <v>0</v>
      </c>
      <c r="G211" s="373">
        <f t="shared" si="104"/>
        <v>0</v>
      </c>
      <c r="H211" s="373">
        <f t="shared" si="104"/>
        <v>0</v>
      </c>
      <c r="I211" s="373">
        <f t="shared" si="104"/>
        <v>0</v>
      </c>
      <c r="J211" s="373">
        <f t="shared" si="104"/>
        <v>0</v>
      </c>
      <c r="K211" s="373">
        <f t="shared" si="104"/>
        <v>0</v>
      </c>
      <c r="L211" s="373">
        <f t="shared" si="104"/>
        <v>0</v>
      </c>
      <c r="M211" s="373">
        <f t="shared" si="104"/>
        <v>0</v>
      </c>
      <c r="N211" s="373">
        <f t="shared" si="104"/>
        <v>0</v>
      </c>
      <c r="O211" s="373">
        <f t="shared" si="104"/>
        <v>0</v>
      </c>
      <c r="P211" s="373">
        <f t="shared" si="104"/>
        <v>0</v>
      </c>
      <c r="Q211" s="373">
        <f t="shared" si="104"/>
        <v>240.40324014417649</v>
      </c>
      <c r="R211" s="373">
        <f t="shared" si="104"/>
        <v>240.40324014417649</v>
      </c>
      <c r="S211" s="373">
        <f t="shared" si="104"/>
        <v>240.40324014417649</v>
      </c>
      <c r="T211" s="373">
        <f t="shared" si="104"/>
        <v>240.40324014417649</v>
      </c>
      <c r="U211" s="373">
        <f t="shared" si="105"/>
        <v>240.40324014417649</v>
      </c>
      <c r="V211" s="373">
        <f t="shared" si="105"/>
        <v>240.40324014417649</v>
      </c>
      <c r="W211" s="373">
        <f t="shared" si="105"/>
        <v>240.40324014417649</v>
      </c>
      <c r="X211" s="373">
        <f t="shared" si="105"/>
        <v>240.40324014417649</v>
      </c>
      <c r="Y211" s="373">
        <f t="shared" si="105"/>
        <v>240.40324014417649</v>
      </c>
      <c r="Z211" s="373">
        <f t="shared" si="105"/>
        <v>240.40324014417649</v>
      </c>
      <c r="AA211" s="373">
        <f t="shared" si="105"/>
        <v>240.40324014417649</v>
      </c>
      <c r="AB211" s="373">
        <f t="shared" si="105"/>
        <v>240.40324014417649</v>
      </c>
      <c r="AC211" s="373">
        <f t="shared" si="106"/>
        <v>240.40324014417649</v>
      </c>
      <c r="AD211" s="373">
        <f t="shared" si="106"/>
        <v>240.40324014417649</v>
      </c>
      <c r="AE211" s="373">
        <f t="shared" si="106"/>
        <v>240.40324014417649</v>
      </c>
      <c r="AF211" s="373">
        <f t="shared" si="106"/>
        <v>240.40324014417649</v>
      </c>
      <c r="AG211" s="373">
        <f t="shared" si="106"/>
        <v>240.40324014417649</v>
      </c>
      <c r="AH211" s="373">
        <f t="shared" si="106"/>
        <v>240.40324014417649</v>
      </c>
      <c r="AI211" s="373">
        <f t="shared" si="106"/>
        <v>240.40324014417649</v>
      </c>
      <c r="AJ211" s="393"/>
    </row>
    <row r="212" spans="1:36" s="357" customFormat="1" ht="12">
      <c r="A212" s="504">
        <v>12</v>
      </c>
      <c r="B212" s="393">
        <v>6010.0810036044122</v>
      </c>
      <c r="C212" s="453">
        <v>25</v>
      </c>
      <c r="D212" s="393"/>
      <c r="E212" s="373">
        <f t="shared" si="104"/>
        <v>0</v>
      </c>
      <c r="F212" s="373">
        <f t="shared" si="104"/>
        <v>0</v>
      </c>
      <c r="G212" s="373">
        <f t="shared" si="104"/>
        <v>0</v>
      </c>
      <c r="H212" s="373">
        <f t="shared" si="104"/>
        <v>0</v>
      </c>
      <c r="I212" s="373">
        <f t="shared" si="104"/>
        <v>0</v>
      </c>
      <c r="J212" s="373">
        <f t="shared" si="104"/>
        <v>0</v>
      </c>
      <c r="K212" s="373">
        <f t="shared" si="104"/>
        <v>0</v>
      </c>
      <c r="L212" s="373">
        <f t="shared" si="104"/>
        <v>0</v>
      </c>
      <c r="M212" s="373">
        <f t="shared" si="104"/>
        <v>0</v>
      </c>
      <c r="N212" s="373">
        <f t="shared" si="104"/>
        <v>0</v>
      </c>
      <c r="O212" s="373">
        <f t="shared" si="104"/>
        <v>0</v>
      </c>
      <c r="P212" s="373">
        <f t="shared" si="104"/>
        <v>0</v>
      </c>
      <c r="Q212" s="373">
        <f t="shared" si="104"/>
        <v>0</v>
      </c>
      <c r="R212" s="373">
        <f t="shared" si="104"/>
        <v>240.40324014417649</v>
      </c>
      <c r="S212" s="373">
        <f t="shared" si="104"/>
        <v>240.40324014417649</v>
      </c>
      <c r="T212" s="373">
        <f t="shared" si="104"/>
        <v>240.40324014417649</v>
      </c>
      <c r="U212" s="373">
        <f t="shared" si="105"/>
        <v>240.40324014417649</v>
      </c>
      <c r="V212" s="373">
        <f t="shared" si="105"/>
        <v>240.40324014417649</v>
      </c>
      <c r="W212" s="373">
        <f t="shared" si="105"/>
        <v>240.40324014417649</v>
      </c>
      <c r="X212" s="373">
        <f t="shared" si="105"/>
        <v>240.40324014417649</v>
      </c>
      <c r="Y212" s="373">
        <f t="shared" si="105"/>
        <v>240.40324014417649</v>
      </c>
      <c r="Z212" s="373">
        <f t="shared" si="105"/>
        <v>240.40324014417649</v>
      </c>
      <c r="AA212" s="373">
        <f t="shared" si="105"/>
        <v>240.40324014417649</v>
      </c>
      <c r="AB212" s="373">
        <f t="shared" si="105"/>
        <v>240.40324014417649</v>
      </c>
      <c r="AC212" s="373">
        <f t="shared" si="106"/>
        <v>240.40324014417649</v>
      </c>
      <c r="AD212" s="373">
        <f t="shared" si="106"/>
        <v>240.40324014417649</v>
      </c>
      <c r="AE212" s="373">
        <f t="shared" si="106"/>
        <v>240.40324014417649</v>
      </c>
      <c r="AF212" s="373">
        <f t="shared" si="106"/>
        <v>240.40324014417649</v>
      </c>
      <c r="AG212" s="373">
        <f t="shared" si="106"/>
        <v>240.40324014417649</v>
      </c>
      <c r="AH212" s="373">
        <f t="shared" si="106"/>
        <v>240.40324014417649</v>
      </c>
      <c r="AI212" s="373">
        <f t="shared" si="106"/>
        <v>240.40324014417649</v>
      </c>
      <c r="AJ212" s="393"/>
    </row>
    <row r="213" spans="1:36" s="357" customFormat="1" ht="12">
      <c r="A213" s="504">
        <v>13</v>
      </c>
      <c r="B213" s="393">
        <v>6010.0810036044122</v>
      </c>
      <c r="C213" s="453">
        <v>25</v>
      </c>
      <c r="D213" s="393"/>
      <c r="E213" s="373">
        <f t="shared" si="104"/>
        <v>0</v>
      </c>
      <c r="F213" s="373">
        <f t="shared" si="104"/>
        <v>0</v>
      </c>
      <c r="G213" s="373">
        <f t="shared" si="104"/>
        <v>0</v>
      </c>
      <c r="H213" s="373">
        <f t="shared" si="104"/>
        <v>0</v>
      </c>
      <c r="I213" s="373">
        <f t="shared" si="104"/>
        <v>0</v>
      </c>
      <c r="J213" s="373">
        <f t="shared" si="104"/>
        <v>0</v>
      </c>
      <c r="K213" s="373">
        <f t="shared" si="104"/>
        <v>0</v>
      </c>
      <c r="L213" s="373">
        <f t="shared" si="104"/>
        <v>0</v>
      </c>
      <c r="M213" s="373">
        <f t="shared" si="104"/>
        <v>0</v>
      </c>
      <c r="N213" s="373">
        <f t="shared" si="104"/>
        <v>0</v>
      </c>
      <c r="O213" s="373">
        <f t="shared" si="104"/>
        <v>0</v>
      </c>
      <c r="P213" s="373">
        <f t="shared" si="104"/>
        <v>0</v>
      </c>
      <c r="Q213" s="373">
        <f t="shared" si="104"/>
        <v>0</v>
      </c>
      <c r="R213" s="373">
        <f t="shared" si="104"/>
        <v>0</v>
      </c>
      <c r="S213" s="373">
        <f t="shared" si="104"/>
        <v>240.40324014417649</v>
      </c>
      <c r="T213" s="373">
        <f t="shared" si="104"/>
        <v>240.40324014417649</v>
      </c>
      <c r="U213" s="373">
        <f t="shared" si="105"/>
        <v>240.40324014417649</v>
      </c>
      <c r="V213" s="373">
        <f t="shared" si="105"/>
        <v>240.40324014417649</v>
      </c>
      <c r="W213" s="373">
        <f t="shared" si="105"/>
        <v>240.40324014417649</v>
      </c>
      <c r="X213" s="373">
        <f t="shared" si="105"/>
        <v>240.40324014417649</v>
      </c>
      <c r="Y213" s="373">
        <f t="shared" si="105"/>
        <v>240.40324014417649</v>
      </c>
      <c r="Z213" s="373">
        <f t="shared" si="105"/>
        <v>240.40324014417649</v>
      </c>
      <c r="AA213" s="373">
        <f t="shared" si="105"/>
        <v>240.40324014417649</v>
      </c>
      <c r="AB213" s="373">
        <f t="shared" si="105"/>
        <v>240.40324014417649</v>
      </c>
      <c r="AC213" s="373">
        <f t="shared" si="106"/>
        <v>240.40324014417649</v>
      </c>
      <c r="AD213" s="373">
        <f t="shared" si="106"/>
        <v>240.40324014417649</v>
      </c>
      <c r="AE213" s="373">
        <f t="shared" si="106"/>
        <v>240.40324014417649</v>
      </c>
      <c r="AF213" s="373">
        <f t="shared" si="106"/>
        <v>240.40324014417649</v>
      </c>
      <c r="AG213" s="373">
        <f t="shared" si="106"/>
        <v>240.40324014417649</v>
      </c>
      <c r="AH213" s="373">
        <f t="shared" si="106"/>
        <v>240.40324014417649</v>
      </c>
      <c r="AI213" s="373">
        <f t="shared" si="106"/>
        <v>240.40324014417649</v>
      </c>
      <c r="AJ213" s="393"/>
    </row>
    <row r="214" spans="1:36" s="357" customFormat="1" ht="12">
      <c r="A214" s="504">
        <v>14</v>
      </c>
      <c r="B214" s="393">
        <v>6010.0810036044122</v>
      </c>
      <c r="C214" s="453">
        <v>25</v>
      </c>
      <c r="D214" s="393"/>
      <c r="E214" s="373">
        <f t="shared" si="104"/>
        <v>0</v>
      </c>
      <c r="F214" s="373">
        <f t="shared" si="104"/>
        <v>0</v>
      </c>
      <c r="G214" s="373">
        <f t="shared" si="104"/>
        <v>0</v>
      </c>
      <c r="H214" s="373">
        <f t="shared" si="104"/>
        <v>0</v>
      </c>
      <c r="I214" s="373">
        <f t="shared" si="104"/>
        <v>0</v>
      </c>
      <c r="J214" s="373">
        <f t="shared" si="104"/>
        <v>0</v>
      </c>
      <c r="K214" s="373">
        <f t="shared" si="104"/>
        <v>0</v>
      </c>
      <c r="L214" s="373">
        <f t="shared" si="104"/>
        <v>0</v>
      </c>
      <c r="M214" s="373">
        <f t="shared" si="104"/>
        <v>0</v>
      </c>
      <c r="N214" s="373">
        <f t="shared" si="104"/>
        <v>0</v>
      </c>
      <c r="O214" s="373">
        <f t="shared" si="104"/>
        <v>0</v>
      </c>
      <c r="P214" s="373">
        <f t="shared" si="104"/>
        <v>0</v>
      </c>
      <c r="Q214" s="373">
        <f t="shared" si="104"/>
        <v>0</v>
      </c>
      <c r="R214" s="373">
        <f t="shared" si="104"/>
        <v>0</v>
      </c>
      <c r="S214" s="373">
        <f t="shared" si="104"/>
        <v>0</v>
      </c>
      <c r="T214" s="373">
        <f t="shared" si="104"/>
        <v>240.40324014417649</v>
      </c>
      <c r="U214" s="373">
        <f t="shared" si="105"/>
        <v>240.40324014417649</v>
      </c>
      <c r="V214" s="373">
        <f t="shared" si="105"/>
        <v>240.40324014417649</v>
      </c>
      <c r="W214" s="373">
        <f t="shared" si="105"/>
        <v>240.40324014417649</v>
      </c>
      <c r="X214" s="373">
        <f t="shared" si="105"/>
        <v>240.40324014417649</v>
      </c>
      <c r="Y214" s="373">
        <f t="shared" si="105"/>
        <v>240.40324014417649</v>
      </c>
      <c r="Z214" s="373">
        <f t="shared" si="105"/>
        <v>240.40324014417649</v>
      </c>
      <c r="AA214" s="373">
        <f t="shared" si="105"/>
        <v>240.40324014417649</v>
      </c>
      <c r="AB214" s="373">
        <f t="shared" si="105"/>
        <v>240.40324014417649</v>
      </c>
      <c r="AC214" s="373">
        <f t="shared" si="106"/>
        <v>240.40324014417649</v>
      </c>
      <c r="AD214" s="373">
        <f t="shared" si="106"/>
        <v>240.40324014417649</v>
      </c>
      <c r="AE214" s="373">
        <f t="shared" si="106"/>
        <v>240.40324014417649</v>
      </c>
      <c r="AF214" s="373">
        <f t="shared" si="106"/>
        <v>240.40324014417649</v>
      </c>
      <c r="AG214" s="373">
        <f t="shared" si="106"/>
        <v>240.40324014417649</v>
      </c>
      <c r="AH214" s="373">
        <f t="shared" si="106"/>
        <v>240.40324014417649</v>
      </c>
      <c r="AI214" s="373">
        <f t="shared" si="106"/>
        <v>240.40324014417649</v>
      </c>
      <c r="AJ214" s="393"/>
    </row>
    <row r="215" spans="1:36" s="357" customFormat="1" ht="12">
      <c r="A215" s="504">
        <v>15</v>
      </c>
      <c r="B215" s="393">
        <v>6010.0810036044122</v>
      </c>
      <c r="C215" s="453">
        <v>25</v>
      </c>
      <c r="D215" s="393"/>
      <c r="E215" s="373">
        <f t="shared" si="104"/>
        <v>0</v>
      </c>
      <c r="F215" s="373">
        <f t="shared" si="104"/>
        <v>0</v>
      </c>
      <c r="G215" s="373">
        <f t="shared" si="104"/>
        <v>0</v>
      </c>
      <c r="H215" s="373">
        <f t="shared" si="104"/>
        <v>0</v>
      </c>
      <c r="I215" s="373">
        <f t="shared" si="104"/>
        <v>0</v>
      </c>
      <c r="J215" s="373">
        <f t="shared" si="104"/>
        <v>0</v>
      </c>
      <c r="K215" s="373">
        <f t="shared" si="104"/>
        <v>0</v>
      </c>
      <c r="L215" s="373">
        <f t="shared" si="104"/>
        <v>0</v>
      </c>
      <c r="M215" s="373">
        <f t="shared" si="104"/>
        <v>0</v>
      </c>
      <c r="N215" s="373">
        <f t="shared" si="104"/>
        <v>0</v>
      </c>
      <c r="O215" s="373">
        <f t="shared" si="104"/>
        <v>0</v>
      </c>
      <c r="P215" s="373">
        <f t="shared" si="104"/>
        <v>0</v>
      </c>
      <c r="Q215" s="373">
        <f t="shared" si="104"/>
        <v>0</v>
      </c>
      <c r="R215" s="373">
        <f t="shared" si="104"/>
        <v>0</v>
      </c>
      <c r="S215" s="373">
        <f t="shared" si="104"/>
        <v>0</v>
      </c>
      <c r="T215" s="373">
        <f t="shared" si="104"/>
        <v>0</v>
      </c>
      <c r="U215" s="373">
        <f t="shared" si="105"/>
        <v>240.40324014417649</v>
      </c>
      <c r="V215" s="373">
        <f t="shared" si="105"/>
        <v>240.40324014417649</v>
      </c>
      <c r="W215" s="373">
        <f t="shared" si="105"/>
        <v>240.40324014417649</v>
      </c>
      <c r="X215" s="373">
        <f t="shared" si="105"/>
        <v>240.40324014417649</v>
      </c>
      <c r="Y215" s="373">
        <f t="shared" si="105"/>
        <v>240.40324014417649</v>
      </c>
      <c r="Z215" s="373">
        <f t="shared" si="105"/>
        <v>240.40324014417649</v>
      </c>
      <c r="AA215" s="373">
        <f t="shared" si="105"/>
        <v>240.40324014417649</v>
      </c>
      <c r="AB215" s="373">
        <f t="shared" si="105"/>
        <v>240.40324014417649</v>
      </c>
      <c r="AC215" s="373">
        <f t="shared" si="106"/>
        <v>240.40324014417649</v>
      </c>
      <c r="AD215" s="373">
        <f t="shared" si="106"/>
        <v>240.40324014417649</v>
      </c>
      <c r="AE215" s="373">
        <f t="shared" si="106"/>
        <v>240.40324014417649</v>
      </c>
      <c r="AF215" s="373">
        <f t="shared" si="106"/>
        <v>240.40324014417649</v>
      </c>
      <c r="AG215" s="373">
        <f t="shared" si="106"/>
        <v>240.40324014417649</v>
      </c>
      <c r="AH215" s="373">
        <f t="shared" si="106"/>
        <v>240.40324014417649</v>
      </c>
      <c r="AI215" s="373">
        <f t="shared" si="106"/>
        <v>240.40324014417649</v>
      </c>
      <c r="AJ215" s="393"/>
    </row>
    <row r="216" spans="1:36" s="357" customFormat="1" ht="12">
      <c r="A216" s="504">
        <v>16</v>
      </c>
      <c r="B216" s="393">
        <v>6010.0810036044122</v>
      </c>
      <c r="C216" s="453">
        <v>25</v>
      </c>
      <c r="D216" s="393"/>
      <c r="E216" s="373">
        <f t="shared" si="104"/>
        <v>0</v>
      </c>
      <c r="F216" s="373">
        <f t="shared" si="104"/>
        <v>0</v>
      </c>
      <c r="G216" s="373">
        <f t="shared" si="104"/>
        <v>0</v>
      </c>
      <c r="H216" s="373">
        <f t="shared" si="104"/>
        <v>0</v>
      </c>
      <c r="I216" s="373">
        <f t="shared" si="104"/>
        <v>0</v>
      </c>
      <c r="J216" s="373">
        <f t="shared" si="104"/>
        <v>0</v>
      </c>
      <c r="K216" s="373">
        <f t="shared" si="104"/>
        <v>0</v>
      </c>
      <c r="L216" s="373">
        <f t="shared" si="104"/>
        <v>0</v>
      </c>
      <c r="M216" s="373">
        <f t="shared" si="104"/>
        <v>0</v>
      </c>
      <c r="N216" s="373">
        <f t="shared" si="104"/>
        <v>0</v>
      </c>
      <c r="O216" s="373">
        <f t="shared" si="104"/>
        <v>0</v>
      </c>
      <c r="P216" s="373">
        <f t="shared" si="104"/>
        <v>0</v>
      </c>
      <c r="Q216" s="373">
        <f t="shared" si="104"/>
        <v>0</v>
      </c>
      <c r="R216" s="373">
        <f t="shared" si="104"/>
        <v>0</v>
      </c>
      <c r="S216" s="373">
        <f t="shared" si="104"/>
        <v>0</v>
      </c>
      <c r="T216" s="373">
        <f t="shared" si="104"/>
        <v>0</v>
      </c>
      <c r="U216" s="373">
        <f t="shared" si="105"/>
        <v>0</v>
      </c>
      <c r="V216" s="373">
        <f t="shared" si="105"/>
        <v>240.40324014417649</v>
      </c>
      <c r="W216" s="373">
        <f t="shared" si="105"/>
        <v>240.40324014417649</v>
      </c>
      <c r="X216" s="373">
        <f t="shared" si="105"/>
        <v>240.40324014417649</v>
      </c>
      <c r="Y216" s="373">
        <f t="shared" si="105"/>
        <v>240.40324014417649</v>
      </c>
      <c r="Z216" s="373">
        <f t="shared" si="105"/>
        <v>240.40324014417649</v>
      </c>
      <c r="AA216" s="373">
        <f t="shared" si="105"/>
        <v>240.40324014417649</v>
      </c>
      <c r="AB216" s="373">
        <f t="shared" si="105"/>
        <v>240.40324014417649</v>
      </c>
      <c r="AC216" s="373">
        <f t="shared" si="106"/>
        <v>240.40324014417649</v>
      </c>
      <c r="AD216" s="373">
        <f t="shared" si="106"/>
        <v>240.40324014417649</v>
      </c>
      <c r="AE216" s="373">
        <f t="shared" si="106"/>
        <v>240.40324014417649</v>
      </c>
      <c r="AF216" s="373">
        <f t="shared" si="106"/>
        <v>240.40324014417649</v>
      </c>
      <c r="AG216" s="373">
        <f t="shared" si="106"/>
        <v>240.40324014417649</v>
      </c>
      <c r="AH216" s="373">
        <f t="shared" si="106"/>
        <v>240.40324014417649</v>
      </c>
      <c r="AI216" s="373">
        <f t="shared" si="106"/>
        <v>240.40324014417649</v>
      </c>
      <c r="AJ216" s="393"/>
    </row>
    <row r="217" spans="1:36" s="357" customFormat="1" ht="12">
      <c r="A217" s="504">
        <v>17</v>
      </c>
      <c r="B217" s="393">
        <v>6010.0810036044122</v>
      </c>
      <c r="C217" s="453">
        <v>25</v>
      </c>
      <c r="D217" s="393"/>
      <c r="E217" s="373">
        <f t="shared" si="104"/>
        <v>0</v>
      </c>
      <c r="F217" s="373">
        <f t="shared" si="104"/>
        <v>0</v>
      </c>
      <c r="G217" s="373">
        <f t="shared" si="104"/>
        <v>0</v>
      </c>
      <c r="H217" s="373">
        <f t="shared" si="104"/>
        <v>0</v>
      </c>
      <c r="I217" s="373">
        <f t="shared" si="104"/>
        <v>0</v>
      </c>
      <c r="J217" s="373">
        <f t="shared" si="104"/>
        <v>0</v>
      </c>
      <c r="K217" s="373">
        <f t="shared" si="104"/>
        <v>0</v>
      </c>
      <c r="L217" s="373">
        <f t="shared" si="104"/>
        <v>0</v>
      </c>
      <c r="M217" s="373">
        <f t="shared" si="104"/>
        <v>0</v>
      </c>
      <c r="N217" s="373">
        <f t="shared" si="104"/>
        <v>0</v>
      </c>
      <c r="O217" s="373">
        <f t="shared" si="104"/>
        <v>0</v>
      </c>
      <c r="P217" s="373">
        <f t="shared" si="104"/>
        <v>0</v>
      </c>
      <c r="Q217" s="373">
        <f t="shared" si="104"/>
        <v>0</v>
      </c>
      <c r="R217" s="373">
        <f t="shared" si="104"/>
        <v>0</v>
      </c>
      <c r="S217" s="373">
        <f t="shared" si="104"/>
        <v>0</v>
      </c>
      <c r="T217" s="373">
        <f t="shared" si="104"/>
        <v>0</v>
      </c>
      <c r="U217" s="373">
        <f t="shared" si="105"/>
        <v>0</v>
      </c>
      <c r="V217" s="373">
        <f t="shared" si="105"/>
        <v>0</v>
      </c>
      <c r="W217" s="373">
        <f t="shared" si="105"/>
        <v>240.40324014417649</v>
      </c>
      <c r="X217" s="373">
        <f t="shared" si="105"/>
        <v>240.40324014417649</v>
      </c>
      <c r="Y217" s="373">
        <f t="shared" si="105"/>
        <v>240.40324014417649</v>
      </c>
      <c r="Z217" s="373">
        <f t="shared" si="105"/>
        <v>240.40324014417649</v>
      </c>
      <c r="AA217" s="373">
        <f t="shared" si="105"/>
        <v>240.40324014417649</v>
      </c>
      <c r="AB217" s="373">
        <f t="shared" si="105"/>
        <v>240.40324014417649</v>
      </c>
      <c r="AC217" s="373">
        <f t="shared" si="106"/>
        <v>240.40324014417649</v>
      </c>
      <c r="AD217" s="373">
        <f t="shared" si="106"/>
        <v>240.40324014417649</v>
      </c>
      <c r="AE217" s="373">
        <f t="shared" si="106"/>
        <v>240.40324014417649</v>
      </c>
      <c r="AF217" s="373">
        <f t="shared" si="106"/>
        <v>240.40324014417649</v>
      </c>
      <c r="AG217" s="373">
        <f t="shared" si="106"/>
        <v>240.40324014417649</v>
      </c>
      <c r="AH217" s="373">
        <f t="shared" si="106"/>
        <v>240.40324014417649</v>
      </c>
      <c r="AI217" s="373">
        <f t="shared" si="106"/>
        <v>240.40324014417649</v>
      </c>
      <c r="AJ217" s="393"/>
    </row>
    <row r="218" spans="1:36" s="357" customFormat="1" ht="12">
      <c r="A218" s="504">
        <v>18</v>
      </c>
      <c r="B218" s="393">
        <v>6010.0810036044122</v>
      </c>
      <c r="C218" s="453">
        <v>25</v>
      </c>
      <c r="D218" s="393"/>
      <c r="E218" s="373">
        <f t="shared" si="104"/>
        <v>0</v>
      </c>
      <c r="F218" s="373">
        <f t="shared" si="104"/>
        <v>0</v>
      </c>
      <c r="G218" s="373">
        <f t="shared" si="104"/>
        <v>0</v>
      </c>
      <c r="H218" s="373">
        <f t="shared" si="104"/>
        <v>0</v>
      </c>
      <c r="I218" s="373">
        <f t="shared" si="104"/>
        <v>0</v>
      </c>
      <c r="J218" s="373">
        <f t="shared" si="104"/>
        <v>0</v>
      </c>
      <c r="K218" s="373">
        <f t="shared" si="104"/>
        <v>0</v>
      </c>
      <c r="L218" s="373">
        <f t="shared" si="104"/>
        <v>0</v>
      </c>
      <c r="M218" s="373">
        <f t="shared" si="104"/>
        <v>0</v>
      </c>
      <c r="N218" s="373">
        <f t="shared" si="104"/>
        <v>0</v>
      </c>
      <c r="O218" s="373">
        <f t="shared" si="104"/>
        <v>0</v>
      </c>
      <c r="P218" s="373">
        <f t="shared" si="104"/>
        <v>0</v>
      </c>
      <c r="Q218" s="373">
        <f t="shared" si="104"/>
        <v>0</v>
      </c>
      <c r="R218" s="373">
        <f t="shared" si="104"/>
        <v>0</v>
      </c>
      <c r="S218" s="373">
        <f t="shared" si="104"/>
        <v>0</v>
      </c>
      <c r="T218" s="373">
        <f t="shared" si="104"/>
        <v>0</v>
      </c>
      <c r="U218" s="373">
        <f t="shared" si="105"/>
        <v>0</v>
      </c>
      <c r="V218" s="373">
        <f t="shared" si="105"/>
        <v>0</v>
      </c>
      <c r="W218" s="373">
        <f t="shared" si="105"/>
        <v>0</v>
      </c>
      <c r="X218" s="373">
        <f t="shared" si="105"/>
        <v>240.40324014417649</v>
      </c>
      <c r="Y218" s="373">
        <f t="shared" si="105"/>
        <v>240.40324014417649</v>
      </c>
      <c r="Z218" s="373">
        <f t="shared" si="105"/>
        <v>240.40324014417649</v>
      </c>
      <c r="AA218" s="373">
        <f t="shared" si="105"/>
        <v>240.40324014417649</v>
      </c>
      <c r="AB218" s="373">
        <f t="shared" si="105"/>
        <v>240.40324014417649</v>
      </c>
      <c r="AC218" s="373">
        <f t="shared" si="106"/>
        <v>240.40324014417649</v>
      </c>
      <c r="AD218" s="373">
        <f t="shared" si="106"/>
        <v>240.40324014417649</v>
      </c>
      <c r="AE218" s="373">
        <f t="shared" si="106"/>
        <v>240.40324014417649</v>
      </c>
      <c r="AF218" s="373">
        <f t="shared" si="106"/>
        <v>240.40324014417649</v>
      </c>
      <c r="AG218" s="373">
        <f t="shared" si="106"/>
        <v>240.40324014417649</v>
      </c>
      <c r="AH218" s="373">
        <f t="shared" si="106"/>
        <v>240.40324014417649</v>
      </c>
      <c r="AI218" s="373">
        <f t="shared" si="106"/>
        <v>240.40324014417649</v>
      </c>
      <c r="AJ218" s="393"/>
    </row>
    <row r="219" spans="1:36" s="357" customFormat="1" ht="12">
      <c r="A219" s="504">
        <v>19</v>
      </c>
      <c r="B219" s="393">
        <v>6010.0810036044122</v>
      </c>
      <c r="C219" s="453">
        <v>25</v>
      </c>
      <c r="D219" s="393"/>
      <c r="E219" s="373">
        <f t="shared" si="104"/>
        <v>0</v>
      </c>
      <c r="F219" s="373">
        <f t="shared" si="104"/>
        <v>0</v>
      </c>
      <c r="G219" s="373">
        <f t="shared" si="104"/>
        <v>0</v>
      </c>
      <c r="H219" s="373">
        <f t="shared" si="104"/>
        <v>0</v>
      </c>
      <c r="I219" s="373">
        <f t="shared" si="104"/>
        <v>0</v>
      </c>
      <c r="J219" s="373">
        <f t="shared" si="104"/>
        <v>0</v>
      </c>
      <c r="K219" s="373">
        <f t="shared" si="104"/>
        <v>0</v>
      </c>
      <c r="L219" s="373">
        <f t="shared" si="104"/>
        <v>0</v>
      </c>
      <c r="M219" s="373">
        <f t="shared" si="104"/>
        <v>0</v>
      </c>
      <c r="N219" s="373">
        <f t="shared" si="104"/>
        <v>0</v>
      </c>
      <c r="O219" s="373">
        <f t="shared" si="104"/>
        <v>0</v>
      </c>
      <c r="P219" s="373">
        <f t="shared" si="104"/>
        <v>0</v>
      </c>
      <c r="Q219" s="373">
        <f t="shared" si="104"/>
        <v>0</v>
      </c>
      <c r="R219" s="373">
        <f t="shared" si="104"/>
        <v>0</v>
      </c>
      <c r="S219" s="373">
        <f t="shared" si="104"/>
        <v>0</v>
      </c>
      <c r="T219" s="373">
        <f t="shared" si="104"/>
        <v>0</v>
      </c>
      <c r="U219" s="373">
        <f t="shared" si="105"/>
        <v>0</v>
      </c>
      <c r="V219" s="373">
        <f t="shared" si="105"/>
        <v>0</v>
      </c>
      <c r="W219" s="373">
        <f t="shared" si="105"/>
        <v>0</v>
      </c>
      <c r="X219" s="373">
        <f t="shared" si="105"/>
        <v>0</v>
      </c>
      <c r="Y219" s="373">
        <f t="shared" si="105"/>
        <v>240.40324014417649</v>
      </c>
      <c r="Z219" s="373">
        <f t="shared" si="105"/>
        <v>240.40324014417649</v>
      </c>
      <c r="AA219" s="373">
        <f t="shared" si="105"/>
        <v>240.40324014417649</v>
      </c>
      <c r="AB219" s="373">
        <f t="shared" si="105"/>
        <v>240.40324014417649</v>
      </c>
      <c r="AC219" s="373">
        <f t="shared" si="106"/>
        <v>240.40324014417649</v>
      </c>
      <c r="AD219" s="373">
        <f t="shared" si="106"/>
        <v>240.40324014417649</v>
      </c>
      <c r="AE219" s="373">
        <f t="shared" si="106"/>
        <v>240.40324014417649</v>
      </c>
      <c r="AF219" s="373">
        <f t="shared" si="106"/>
        <v>240.40324014417649</v>
      </c>
      <c r="AG219" s="373">
        <f t="shared" si="106"/>
        <v>240.40324014417649</v>
      </c>
      <c r="AH219" s="373">
        <f t="shared" si="106"/>
        <v>240.40324014417649</v>
      </c>
      <c r="AI219" s="373">
        <f t="shared" si="106"/>
        <v>240.40324014417649</v>
      </c>
      <c r="AJ219" s="393"/>
    </row>
    <row r="220" spans="1:36" s="357" customFormat="1" ht="12">
      <c r="A220" s="504">
        <v>20</v>
      </c>
      <c r="B220" s="393">
        <v>6010.0810036044122</v>
      </c>
      <c r="C220" s="453">
        <v>25</v>
      </c>
      <c r="D220" s="393"/>
      <c r="E220" s="373">
        <f t="shared" si="104"/>
        <v>0</v>
      </c>
      <c r="F220" s="373">
        <f t="shared" si="104"/>
        <v>0</v>
      </c>
      <c r="G220" s="373">
        <f t="shared" si="104"/>
        <v>0</v>
      </c>
      <c r="H220" s="373">
        <f t="shared" si="104"/>
        <v>0</v>
      </c>
      <c r="I220" s="373">
        <f t="shared" si="104"/>
        <v>0</v>
      </c>
      <c r="J220" s="373">
        <f t="shared" si="104"/>
        <v>0</v>
      </c>
      <c r="K220" s="373">
        <f t="shared" si="104"/>
        <v>0</v>
      </c>
      <c r="L220" s="373">
        <f t="shared" si="104"/>
        <v>0</v>
      </c>
      <c r="M220" s="373">
        <f t="shared" si="104"/>
        <v>0</v>
      </c>
      <c r="N220" s="373">
        <f t="shared" si="104"/>
        <v>0</v>
      </c>
      <c r="O220" s="373">
        <f t="shared" si="104"/>
        <v>0</v>
      </c>
      <c r="P220" s="373">
        <f t="shared" si="104"/>
        <v>0</v>
      </c>
      <c r="Q220" s="373">
        <f t="shared" si="104"/>
        <v>0</v>
      </c>
      <c r="R220" s="373">
        <f t="shared" si="104"/>
        <v>0</v>
      </c>
      <c r="S220" s="373">
        <f t="shared" si="104"/>
        <v>0</v>
      </c>
      <c r="T220" s="373">
        <f t="shared" si="104"/>
        <v>0</v>
      </c>
      <c r="U220" s="373">
        <f t="shared" si="105"/>
        <v>0</v>
      </c>
      <c r="V220" s="373">
        <f t="shared" si="105"/>
        <v>0</v>
      </c>
      <c r="W220" s="373">
        <f t="shared" si="105"/>
        <v>0</v>
      </c>
      <c r="X220" s="373">
        <f t="shared" si="105"/>
        <v>0</v>
      </c>
      <c r="Y220" s="373">
        <f t="shared" si="105"/>
        <v>0</v>
      </c>
      <c r="Z220" s="373">
        <f t="shared" si="105"/>
        <v>240.40324014417649</v>
      </c>
      <c r="AA220" s="373">
        <f t="shared" si="105"/>
        <v>240.40324014417649</v>
      </c>
      <c r="AB220" s="373">
        <f t="shared" si="105"/>
        <v>240.40324014417649</v>
      </c>
      <c r="AC220" s="373">
        <f t="shared" si="106"/>
        <v>240.40324014417649</v>
      </c>
      <c r="AD220" s="373">
        <f t="shared" si="106"/>
        <v>240.40324014417649</v>
      </c>
      <c r="AE220" s="373">
        <f t="shared" si="106"/>
        <v>240.40324014417649</v>
      </c>
      <c r="AF220" s="373">
        <f t="shared" si="106"/>
        <v>240.40324014417649</v>
      </c>
      <c r="AG220" s="373">
        <f t="shared" si="106"/>
        <v>240.40324014417649</v>
      </c>
      <c r="AH220" s="373">
        <f t="shared" si="106"/>
        <v>240.40324014417649</v>
      </c>
      <c r="AI220" s="373">
        <f t="shared" si="106"/>
        <v>240.40324014417649</v>
      </c>
      <c r="AJ220" s="393"/>
    </row>
    <row r="221" spans="1:36" s="357" customFormat="1" ht="12">
      <c r="A221" s="504">
        <v>21</v>
      </c>
      <c r="B221" s="393">
        <v>6010.0810036044122</v>
      </c>
      <c r="C221" s="453">
        <v>25</v>
      </c>
      <c r="D221" s="393"/>
      <c r="E221" s="373">
        <f t="shared" si="104"/>
        <v>0</v>
      </c>
      <c r="F221" s="373">
        <f t="shared" si="104"/>
        <v>0</v>
      </c>
      <c r="G221" s="373">
        <f t="shared" si="104"/>
        <v>0</v>
      </c>
      <c r="H221" s="373">
        <f t="shared" si="104"/>
        <v>0</v>
      </c>
      <c r="I221" s="373">
        <f t="shared" si="104"/>
        <v>0</v>
      </c>
      <c r="J221" s="373">
        <f t="shared" si="104"/>
        <v>0</v>
      </c>
      <c r="K221" s="373">
        <f t="shared" si="104"/>
        <v>0</v>
      </c>
      <c r="L221" s="373">
        <f t="shared" si="104"/>
        <v>0</v>
      </c>
      <c r="M221" s="373">
        <f t="shared" si="104"/>
        <v>0</v>
      </c>
      <c r="N221" s="373">
        <f t="shared" si="104"/>
        <v>0</v>
      </c>
      <c r="O221" s="373">
        <f t="shared" si="104"/>
        <v>0</v>
      </c>
      <c r="P221" s="373">
        <f t="shared" si="104"/>
        <v>0</v>
      </c>
      <c r="Q221" s="373">
        <f t="shared" si="104"/>
        <v>0</v>
      </c>
      <c r="R221" s="373">
        <f t="shared" si="104"/>
        <v>0</v>
      </c>
      <c r="S221" s="373">
        <f t="shared" si="104"/>
        <v>0</v>
      </c>
      <c r="T221" s="373">
        <f t="shared" si="104"/>
        <v>0</v>
      </c>
      <c r="U221" s="373">
        <f t="shared" si="105"/>
        <v>0</v>
      </c>
      <c r="V221" s="373">
        <f t="shared" si="105"/>
        <v>0</v>
      </c>
      <c r="W221" s="373">
        <f t="shared" si="105"/>
        <v>0</v>
      </c>
      <c r="X221" s="373">
        <f t="shared" si="105"/>
        <v>0</v>
      </c>
      <c r="Y221" s="373">
        <f t="shared" si="105"/>
        <v>0</v>
      </c>
      <c r="Z221" s="373">
        <f t="shared" si="105"/>
        <v>0</v>
      </c>
      <c r="AA221" s="373">
        <f t="shared" si="105"/>
        <v>240.40324014417649</v>
      </c>
      <c r="AB221" s="373">
        <f t="shared" si="105"/>
        <v>240.40324014417649</v>
      </c>
      <c r="AC221" s="373">
        <f t="shared" si="106"/>
        <v>240.40324014417649</v>
      </c>
      <c r="AD221" s="373">
        <f t="shared" si="106"/>
        <v>240.40324014417649</v>
      </c>
      <c r="AE221" s="373">
        <f t="shared" si="106"/>
        <v>240.40324014417649</v>
      </c>
      <c r="AF221" s="373">
        <f t="shared" si="106"/>
        <v>240.40324014417649</v>
      </c>
      <c r="AG221" s="373">
        <f t="shared" si="106"/>
        <v>240.40324014417649</v>
      </c>
      <c r="AH221" s="373">
        <f t="shared" si="106"/>
        <v>240.40324014417649</v>
      </c>
      <c r="AI221" s="373">
        <f t="shared" si="106"/>
        <v>240.40324014417649</v>
      </c>
      <c r="AJ221" s="393"/>
    </row>
    <row r="222" spans="1:36" s="357" customFormat="1" ht="12">
      <c r="A222" s="504">
        <v>22</v>
      </c>
      <c r="B222" s="393">
        <v>6010.0810036044122</v>
      </c>
      <c r="C222" s="453">
        <v>25</v>
      </c>
      <c r="D222" s="393"/>
      <c r="E222" s="373">
        <f t="shared" si="104"/>
        <v>0</v>
      </c>
      <c r="F222" s="373">
        <f t="shared" si="104"/>
        <v>0</v>
      </c>
      <c r="G222" s="373">
        <f t="shared" si="104"/>
        <v>0</v>
      </c>
      <c r="H222" s="373">
        <f t="shared" si="104"/>
        <v>0</v>
      </c>
      <c r="I222" s="373">
        <f t="shared" si="104"/>
        <v>0</v>
      </c>
      <c r="J222" s="373">
        <f t="shared" si="104"/>
        <v>0</v>
      </c>
      <c r="K222" s="373">
        <f t="shared" si="104"/>
        <v>0</v>
      </c>
      <c r="L222" s="373">
        <f t="shared" si="104"/>
        <v>0</v>
      </c>
      <c r="M222" s="373">
        <f t="shared" si="104"/>
        <v>0</v>
      </c>
      <c r="N222" s="373">
        <f t="shared" si="104"/>
        <v>0</v>
      </c>
      <c r="O222" s="373">
        <f t="shared" si="104"/>
        <v>0</v>
      </c>
      <c r="P222" s="373">
        <f t="shared" si="104"/>
        <v>0</v>
      </c>
      <c r="Q222" s="373">
        <f t="shared" si="104"/>
        <v>0</v>
      </c>
      <c r="R222" s="373">
        <f t="shared" si="104"/>
        <v>0</v>
      </c>
      <c r="S222" s="373">
        <f t="shared" si="104"/>
        <v>0</v>
      </c>
      <c r="T222" s="373">
        <f t="shared" si="104"/>
        <v>0</v>
      </c>
      <c r="U222" s="373">
        <f t="shared" si="105"/>
        <v>0</v>
      </c>
      <c r="V222" s="373">
        <f t="shared" si="105"/>
        <v>0</v>
      </c>
      <c r="W222" s="373">
        <f t="shared" si="105"/>
        <v>0</v>
      </c>
      <c r="X222" s="373">
        <f t="shared" si="105"/>
        <v>0</v>
      </c>
      <c r="Y222" s="373">
        <f t="shared" si="105"/>
        <v>0</v>
      </c>
      <c r="Z222" s="373">
        <f t="shared" si="105"/>
        <v>0</v>
      </c>
      <c r="AA222" s="373">
        <f t="shared" si="105"/>
        <v>0</v>
      </c>
      <c r="AB222" s="373">
        <f t="shared" si="105"/>
        <v>240.40324014417649</v>
      </c>
      <c r="AC222" s="373">
        <f t="shared" si="106"/>
        <v>240.40324014417649</v>
      </c>
      <c r="AD222" s="373">
        <f t="shared" si="106"/>
        <v>240.40324014417649</v>
      </c>
      <c r="AE222" s="373">
        <f t="shared" si="106"/>
        <v>240.40324014417649</v>
      </c>
      <c r="AF222" s="373">
        <f t="shared" si="106"/>
        <v>240.40324014417649</v>
      </c>
      <c r="AG222" s="373">
        <f t="shared" si="106"/>
        <v>240.40324014417649</v>
      </c>
      <c r="AH222" s="373">
        <f t="shared" si="106"/>
        <v>240.40324014417649</v>
      </c>
      <c r="AI222" s="373">
        <f t="shared" si="106"/>
        <v>240.40324014417649</v>
      </c>
      <c r="AJ222" s="393"/>
    </row>
    <row r="223" spans="1:36" s="357" customFormat="1" ht="12">
      <c r="A223" s="504">
        <v>23</v>
      </c>
      <c r="B223" s="393">
        <v>6010.0810036044122</v>
      </c>
      <c r="C223" s="453">
        <v>25</v>
      </c>
      <c r="D223" s="393"/>
      <c r="E223" s="373">
        <f t="shared" si="104"/>
        <v>0</v>
      </c>
      <c r="F223" s="373">
        <f t="shared" si="104"/>
        <v>0</v>
      </c>
      <c r="G223" s="373">
        <f t="shared" si="104"/>
        <v>0</v>
      </c>
      <c r="H223" s="373">
        <f t="shared" si="104"/>
        <v>0</v>
      </c>
      <c r="I223" s="373">
        <f t="shared" si="104"/>
        <v>0</v>
      </c>
      <c r="J223" s="373">
        <f t="shared" si="104"/>
        <v>0</v>
      </c>
      <c r="K223" s="373">
        <f t="shared" si="104"/>
        <v>0</v>
      </c>
      <c r="L223" s="373">
        <f t="shared" si="104"/>
        <v>0</v>
      </c>
      <c r="M223" s="373">
        <f t="shared" si="104"/>
        <v>0</v>
      </c>
      <c r="N223" s="373">
        <f t="shared" si="104"/>
        <v>0</v>
      </c>
      <c r="O223" s="373">
        <f t="shared" si="104"/>
        <v>0</v>
      </c>
      <c r="P223" s="373">
        <f t="shared" si="104"/>
        <v>0</v>
      </c>
      <c r="Q223" s="373">
        <f t="shared" si="104"/>
        <v>0</v>
      </c>
      <c r="R223" s="373">
        <f t="shared" si="104"/>
        <v>0</v>
      </c>
      <c r="S223" s="373">
        <f t="shared" si="104"/>
        <v>0</v>
      </c>
      <c r="T223" s="373">
        <f t="shared" si="104"/>
        <v>0</v>
      </c>
      <c r="U223" s="373">
        <f t="shared" si="105"/>
        <v>0</v>
      </c>
      <c r="V223" s="373">
        <f t="shared" si="105"/>
        <v>0</v>
      </c>
      <c r="W223" s="373">
        <f t="shared" si="105"/>
        <v>0</v>
      </c>
      <c r="X223" s="373">
        <f t="shared" si="105"/>
        <v>0</v>
      </c>
      <c r="Y223" s="373">
        <f t="shared" si="105"/>
        <v>0</v>
      </c>
      <c r="Z223" s="373">
        <f t="shared" si="105"/>
        <v>0</v>
      </c>
      <c r="AA223" s="373">
        <f t="shared" si="105"/>
        <v>0</v>
      </c>
      <c r="AB223" s="373">
        <f t="shared" si="105"/>
        <v>0</v>
      </c>
      <c r="AC223" s="373">
        <f t="shared" si="106"/>
        <v>240.40324014417649</v>
      </c>
      <c r="AD223" s="373">
        <f t="shared" si="106"/>
        <v>240.40324014417649</v>
      </c>
      <c r="AE223" s="373">
        <f t="shared" si="106"/>
        <v>240.40324014417649</v>
      </c>
      <c r="AF223" s="373">
        <f t="shared" si="106"/>
        <v>240.40324014417649</v>
      </c>
      <c r="AG223" s="373">
        <f t="shared" si="106"/>
        <v>240.40324014417649</v>
      </c>
      <c r="AH223" s="373">
        <f t="shared" si="106"/>
        <v>240.40324014417649</v>
      </c>
      <c r="AI223" s="373">
        <f t="shared" si="106"/>
        <v>240.40324014417649</v>
      </c>
      <c r="AJ223" s="393"/>
    </row>
    <row r="224" spans="1:36" s="357" customFormat="1" ht="12">
      <c r="A224" s="504">
        <v>24</v>
      </c>
      <c r="B224" s="393">
        <v>6010.0810036044122</v>
      </c>
      <c r="C224" s="453">
        <v>25</v>
      </c>
      <c r="D224" s="393"/>
      <c r="E224" s="373">
        <f t="shared" si="104"/>
        <v>0</v>
      </c>
      <c r="F224" s="373">
        <f t="shared" si="104"/>
        <v>0</v>
      </c>
      <c r="G224" s="373">
        <f t="shared" si="104"/>
        <v>0</v>
      </c>
      <c r="H224" s="373">
        <f t="shared" si="104"/>
        <v>0</v>
      </c>
      <c r="I224" s="373">
        <f t="shared" si="104"/>
        <v>0</v>
      </c>
      <c r="J224" s="373">
        <f t="shared" si="104"/>
        <v>0</v>
      </c>
      <c r="K224" s="373">
        <f t="shared" si="104"/>
        <v>0</v>
      </c>
      <c r="L224" s="373">
        <f t="shared" si="104"/>
        <v>0</v>
      </c>
      <c r="M224" s="373">
        <f t="shared" si="104"/>
        <v>0</v>
      </c>
      <c r="N224" s="373">
        <f t="shared" si="104"/>
        <v>0</v>
      </c>
      <c r="O224" s="373">
        <f t="shared" si="104"/>
        <v>0</v>
      </c>
      <c r="P224" s="373">
        <f t="shared" si="104"/>
        <v>0</v>
      </c>
      <c r="Q224" s="373">
        <f t="shared" si="104"/>
        <v>0</v>
      </c>
      <c r="R224" s="373">
        <f t="shared" si="104"/>
        <v>0</v>
      </c>
      <c r="S224" s="373">
        <f t="shared" si="104"/>
        <v>0</v>
      </c>
      <c r="T224" s="373">
        <f t="shared" si="104"/>
        <v>0</v>
      </c>
      <c r="U224" s="373">
        <f t="shared" si="105"/>
        <v>0</v>
      </c>
      <c r="V224" s="373">
        <f t="shared" si="105"/>
        <v>0</v>
      </c>
      <c r="W224" s="373">
        <f t="shared" si="105"/>
        <v>0</v>
      </c>
      <c r="X224" s="373">
        <f t="shared" si="105"/>
        <v>0</v>
      </c>
      <c r="Y224" s="373">
        <f t="shared" si="105"/>
        <v>0</v>
      </c>
      <c r="Z224" s="373">
        <f t="shared" si="105"/>
        <v>0</v>
      </c>
      <c r="AA224" s="373">
        <f t="shared" si="105"/>
        <v>0</v>
      </c>
      <c r="AB224" s="373">
        <f t="shared" si="105"/>
        <v>0</v>
      </c>
      <c r="AC224" s="373">
        <f t="shared" si="106"/>
        <v>0</v>
      </c>
      <c r="AD224" s="373">
        <f t="shared" si="106"/>
        <v>240.40324014417649</v>
      </c>
      <c r="AE224" s="373">
        <f t="shared" si="106"/>
        <v>240.40324014417649</v>
      </c>
      <c r="AF224" s="373">
        <f t="shared" si="106"/>
        <v>240.40324014417649</v>
      </c>
      <c r="AG224" s="373">
        <f t="shared" si="106"/>
        <v>240.40324014417649</v>
      </c>
      <c r="AH224" s="373">
        <f t="shared" si="106"/>
        <v>240.40324014417649</v>
      </c>
      <c r="AI224" s="373">
        <f t="shared" si="106"/>
        <v>240.40324014417649</v>
      </c>
      <c r="AJ224" s="393"/>
    </row>
    <row r="225" spans="1:36" s="357" customFormat="1" ht="12">
      <c r="A225" s="504">
        <v>25</v>
      </c>
      <c r="B225" s="393">
        <v>6010.0810036044122</v>
      </c>
      <c r="C225" s="453">
        <v>25</v>
      </c>
      <c r="D225" s="393"/>
      <c r="E225" s="373">
        <f t="shared" si="104"/>
        <v>0</v>
      </c>
      <c r="F225" s="373">
        <f t="shared" si="104"/>
        <v>0</v>
      </c>
      <c r="G225" s="373">
        <f t="shared" si="104"/>
        <v>0</v>
      </c>
      <c r="H225" s="373">
        <f t="shared" si="104"/>
        <v>0</v>
      </c>
      <c r="I225" s="373">
        <f t="shared" si="104"/>
        <v>0</v>
      </c>
      <c r="J225" s="373">
        <f t="shared" si="104"/>
        <v>0</v>
      </c>
      <c r="K225" s="373">
        <f t="shared" si="104"/>
        <v>0</v>
      </c>
      <c r="L225" s="373">
        <f t="shared" ref="L225:AA230" si="107">IF(AND(L$1&gt;$A225,L$1&lt;=$A225+$C225),$B225/$C225,0)</f>
        <v>0</v>
      </c>
      <c r="M225" s="373">
        <f t="shared" si="107"/>
        <v>0</v>
      </c>
      <c r="N225" s="373">
        <f t="shared" si="107"/>
        <v>0</v>
      </c>
      <c r="O225" s="373">
        <f t="shared" si="107"/>
        <v>0</v>
      </c>
      <c r="P225" s="373">
        <f t="shared" si="107"/>
        <v>0</v>
      </c>
      <c r="Q225" s="373">
        <f t="shared" si="107"/>
        <v>0</v>
      </c>
      <c r="R225" s="373">
        <f t="shared" si="107"/>
        <v>0</v>
      </c>
      <c r="S225" s="373">
        <f t="shared" si="107"/>
        <v>0</v>
      </c>
      <c r="T225" s="373">
        <f t="shared" si="107"/>
        <v>0</v>
      </c>
      <c r="U225" s="373">
        <f t="shared" si="107"/>
        <v>0</v>
      </c>
      <c r="V225" s="373">
        <f t="shared" si="107"/>
        <v>0</v>
      </c>
      <c r="W225" s="373">
        <f t="shared" si="107"/>
        <v>0</v>
      </c>
      <c r="X225" s="373">
        <f t="shared" si="107"/>
        <v>0</v>
      </c>
      <c r="Y225" s="373">
        <f t="shared" si="107"/>
        <v>0</v>
      </c>
      <c r="Z225" s="373">
        <f t="shared" si="107"/>
        <v>0</v>
      </c>
      <c r="AA225" s="373">
        <f t="shared" si="107"/>
        <v>0</v>
      </c>
      <c r="AB225" s="373">
        <f t="shared" si="105"/>
        <v>0</v>
      </c>
      <c r="AC225" s="373">
        <f t="shared" si="106"/>
        <v>0</v>
      </c>
      <c r="AD225" s="373">
        <f t="shared" si="106"/>
        <v>0</v>
      </c>
      <c r="AE225" s="373">
        <f t="shared" si="106"/>
        <v>240.40324014417649</v>
      </c>
      <c r="AF225" s="373">
        <f t="shared" si="106"/>
        <v>240.40324014417649</v>
      </c>
      <c r="AG225" s="373">
        <f t="shared" si="106"/>
        <v>240.40324014417649</v>
      </c>
      <c r="AH225" s="373">
        <f t="shared" si="106"/>
        <v>240.40324014417649</v>
      </c>
      <c r="AI225" s="373">
        <f t="shared" si="106"/>
        <v>240.40324014417649</v>
      </c>
      <c r="AJ225" s="393"/>
    </row>
    <row r="226" spans="1:36" s="357" customFormat="1" ht="12">
      <c r="A226" s="504">
        <v>26</v>
      </c>
      <c r="B226" s="393">
        <v>6010.0810036044122</v>
      </c>
      <c r="C226" s="453">
        <v>25</v>
      </c>
      <c r="D226" s="393"/>
      <c r="E226" s="373">
        <f t="shared" ref="E226:T230" si="108">IF(AND(E$1&gt;$A226,E$1&lt;=$A226+$C226),$B226/$C226,0)</f>
        <v>0</v>
      </c>
      <c r="F226" s="373">
        <f t="shared" si="108"/>
        <v>0</v>
      </c>
      <c r="G226" s="373">
        <f t="shared" si="108"/>
        <v>0</v>
      </c>
      <c r="H226" s="373">
        <f t="shared" si="108"/>
        <v>0</v>
      </c>
      <c r="I226" s="373">
        <f t="shared" si="108"/>
        <v>0</v>
      </c>
      <c r="J226" s="373">
        <f t="shared" si="108"/>
        <v>0</v>
      </c>
      <c r="K226" s="373">
        <f t="shared" si="108"/>
        <v>0</v>
      </c>
      <c r="L226" s="373">
        <f t="shared" si="108"/>
        <v>0</v>
      </c>
      <c r="M226" s="373">
        <f t="shared" si="108"/>
        <v>0</v>
      </c>
      <c r="N226" s="373">
        <f t="shared" si="108"/>
        <v>0</v>
      </c>
      <c r="O226" s="373">
        <f t="shared" si="108"/>
        <v>0</v>
      </c>
      <c r="P226" s="373">
        <f t="shared" si="108"/>
        <v>0</v>
      </c>
      <c r="Q226" s="373">
        <f t="shared" si="108"/>
        <v>0</v>
      </c>
      <c r="R226" s="373">
        <f t="shared" si="108"/>
        <v>0</v>
      </c>
      <c r="S226" s="373">
        <f t="shared" si="108"/>
        <v>0</v>
      </c>
      <c r="T226" s="373">
        <f t="shared" si="108"/>
        <v>0</v>
      </c>
      <c r="U226" s="373">
        <f t="shared" si="107"/>
        <v>0</v>
      </c>
      <c r="V226" s="373">
        <f t="shared" si="107"/>
        <v>0</v>
      </c>
      <c r="W226" s="373">
        <f t="shared" si="107"/>
        <v>0</v>
      </c>
      <c r="X226" s="373">
        <f t="shared" si="107"/>
        <v>0</v>
      </c>
      <c r="Y226" s="373">
        <f t="shared" si="107"/>
        <v>0</v>
      </c>
      <c r="Z226" s="373">
        <f t="shared" si="107"/>
        <v>0</v>
      </c>
      <c r="AA226" s="373">
        <f t="shared" si="107"/>
        <v>0</v>
      </c>
      <c r="AB226" s="373">
        <f t="shared" si="105"/>
        <v>0</v>
      </c>
      <c r="AC226" s="373">
        <f t="shared" si="106"/>
        <v>0</v>
      </c>
      <c r="AD226" s="373">
        <f t="shared" si="106"/>
        <v>0</v>
      </c>
      <c r="AE226" s="373">
        <f t="shared" si="106"/>
        <v>0</v>
      </c>
      <c r="AF226" s="373">
        <f t="shared" si="106"/>
        <v>240.40324014417649</v>
      </c>
      <c r="AG226" s="373">
        <f t="shared" si="106"/>
        <v>240.40324014417649</v>
      </c>
      <c r="AH226" s="373">
        <f t="shared" si="106"/>
        <v>240.40324014417649</v>
      </c>
      <c r="AI226" s="373">
        <f t="shared" si="106"/>
        <v>240.40324014417649</v>
      </c>
      <c r="AJ226" s="393"/>
    </row>
    <row r="227" spans="1:36" s="357" customFormat="1" ht="12">
      <c r="A227" s="504">
        <v>27</v>
      </c>
      <c r="B227" s="393">
        <v>6010.0810036044122</v>
      </c>
      <c r="C227" s="453">
        <v>25</v>
      </c>
      <c r="D227" s="393"/>
      <c r="E227" s="373">
        <f t="shared" si="108"/>
        <v>0</v>
      </c>
      <c r="F227" s="373">
        <f t="shared" si="108"/>
        <v>0</v>
      </c>
      <c r="G227" s="373">
        <f t="shared" si="108"/>
        <v>0</v>
      </c>
      <c r="H227" s="373">
        <f t="shared" si="108"/>
        <v>0</v>
      </c>
      <c r="I227" s="373">
        <f t="shared" si="108"/>
        <v>0</v>
      </c>
      <c r="J227" s="373">
        <f t="shared" si="108"/>
        <v>0</v>
      </c>
      <c r="K227" s="373">
        <f t="shared" si="108"/>
        <v>0</v>
      </c>
      <c r="L227" s="373">
        <f t="shared" si="108"/>
        <v>0</v>
      </c>
      <c r="M227" s="373">
        <f t="shared" si="108"/>
        <v>0</v>
      </c>
      <c r="N227" s="373">
        <f t="shared" si="108"/>
        <v>0</v>
      </c>
      <c r="O227" s="373">
        <f t="shared" si="108"/>
        <v>0</v>
      </c>
      <c r="P227" s="373">
        <f t="shared" si="108"/>
        <v>0</v>
      </c>
      <c r="Q227" s="373">
        <f t="shared" si="108"/>
        <v>0</v>
      </c>
      <c r="R227" s="373">
        <f t="shared" si="108"/>
        <v>0</v>
      </c>
      <c r="S227" s="373">
        <f t="shared" si="108"/>
        <v>0</v>
      </c>
      <c r="T227" s="373">
        <f t="shared" si="108"/>
        <v>0</v>
      </c>
      <c r="U227" s="373">
        <f t="shared" si="107"/>
        <v>0</v>
      </c>
      <c r="V227" s="373">
        <f t="shared" si="107"/>
        <v>0</v>
      </c>
      <c r="W227" s="373">
        <f t="shared" si="107"/>
        <v>0</v>
      </c>
      <c r="X227" s="373">
        <f t="shared" si="107"/>
        <v>0</v>
      </c>
      <c r="Y227" s="373">
        <f t="shared" si="107"/>
        <v>0</v>
      </c>
      <c r="Z227" s="373">
        <f t="shared" si="107"/>
        <v>0</v>
      </c>
      <c r="AA227" s="373">
        <f t="shared" si="107"/>
        <v>0</v>
      </c>
      <c r="AB227" s="373">
        <f t="shared" si="105"/>
        <v>0</v>
      </c>
      <c r="AC227" s="373">
        <f t="shared" si="106"/>
        <v>0</v>
      </c>
      <c r="AD227" s="373">
        <f t="shared" si="106"/>
        <v>0</v>
      </c>
      <c r="AE227" s="373">
        <f t="shared" si="106"/>
        <v>0</v>
      </c>
      <c r="AF227" s="373">
        <f t="shared" si="106"/>
        <v>0</v>
      </c>
      <c r="AG227" s="373">
        <f t="shared" si="106"/>
        <v>240.40324014417649</v>
      </c>
      <c r="AH227" s="373">
        <f t="shared" si="106"/>
        <v>240.40324014417649</v>
      </c>
      <c r="AI227" s="373">
        <f t="shared" si="106"/>
        <v>240.40324014417649</v>
      </c>
      <c r="AJ227" s="393"/>
    </row>
    <row r="228" spans="1:36" s="357" customFormat="1" ht="12">
      <c r="A228" s="504">
        <v>28</v>
      </c>
      <c r="B228" s="393">
        <v>6010.0810036044122</v>
      </c>
      <c r="C228" s="453">
        <v>25</v>
      </c>
      <c r="D228" s="393"/>
      <c r="E228" s="373">
        <f t="shared" si="108"/>
        <v>0</v>
      </c>
      <c r="F228" s="373">
        <f t="shared" si="108"/>
        <v>0</v>
      </c>
      <c r="G228" s="373">
        <f t="shared" si="108"/>
        <v>0</v>
      </c>
      <c r="H228" s="373">
        <f t="shared" si="108"/>
        <v>0</v>
      </c>
      <c r="I228" s="373">
        <f t="shared" si="108"/>
        <v>0</v>
      </c>
      <c r="J228" s="373">
        <f t="shared" si="108"/>
        <v>0</v>
      </c>
      <c r="K228" s="373">
        <f t="shared" si="108"/>
        <v>0</v>
      </c>
      <c r="L228" s="373">
        <f t="shared" si="108"/>
        <v>0</v>
      </c>
      <c r="M228" s="373">
        <f t="shared" si="108"/>
        <v>0</v>
      </c>
      <c r="N228" s="373">
        <f t="shared" si="108"/>
        <v>0</v>
      </c>
      <c r="O228" s="373">
        <f t="shared" si="108"/>
        <v>0</v>
      </c>
      <c r="P228" s="373">
        <f t="shared" si="108"/>
        <v>0</v>
      </c>
      <c r="Q228" s="373">
        <f t="shared" si="108"/>
        <v>0</v>
      </c>
      <c r="R228" s="373">
        <f t="shared" si="108"/>
        <v>0</v>
      </c>
      <c r="S228" s="373">
        <f t="shared" si="108"/>
        <v>0</v>
      </c>
      <c r="T228" s="373">
        <f t="shared" si="108"/>
        <v>0</v>
      </c>
      <c r="U228" s="373">
        <f t="shared" si="107"/>
        <v>0</v>
      </c>
      <c r="V228" s="373">
        <f t="shared" si="107"/>
        <v>0</v>
      </c>
      <c r="W228" s="373">
        <f t="shared" si="107"/>
        <v>0</v>
      </c>
      <c r="X228" s="373">
        <f t="shared" si="107"/>
        <v>0</v>
      </c>
      <c r="Y228" s="373">
        <f t="shared" si="107"/>
        <v>0</v>
      </c>
      <c r="Z228" s="373">
        <f t="shared" si="107"/>
        <v>0</v>
      </c>
      <c r="AA228" s="373">
        <f t="shared" si="107"/>
        <v>0</v>
      </c>
      <c r="AB228" s="373">
        <f t="shared" si="105"/>
        <v>0</v>
      </c>
      <c r="AC228" s="373">
        <f t="shared" si="106"/>
        <v>0</v>
      </c>
      <c r="AD228" s="373">
        <f t="shared" si="106"/>
        <v>0</v>
      </c>
      <c r="AE228" s="373">
        <f t="shared" si="106"/>
        <v>0</v>
      </c>
      <c r="AF228" s="373">
        <f t="shared" si="106"/>
        <v>0</v>
      </c>
      <c r="AG228" s="373">
        <f t="shared" si="106"/>
        <v>0</v>
      </c>
      <c r="AH228" s="373">
        <f t="shared" si="106"/>
        <v>240.40324014417649</v>
      </c>
      <c r="AI228" s="373">
        <f t="shared" si="106"/>
        <v>240.40324014417649</v>
      </c>
      <c r="AJ228" s="393"/>
    </row>
    <row r="229" spans="1:36" s="357" customFormat="1" ht="12">
      <c r="A229" s="504">
        <v>29</v>
      </c>
      <c r="B229" s="393">
        <v>6010.0810036044122</v>
      </c>
      <c r="C229" s="453">
        <v>25</v>
      </c>
      <c r="D229" s="393"/>
      <c r="E229" s="373">
        <f t="shared" si="108"/>
        <v>0</v>
      </c>
      <c r="F229" s="373">
        <f t="shared" si="108"/>
        <v>0</v>
      </c>
      <c r="G229" s="373">
        <f t="shared" si="108"/>
        <v>0</v>
      </c>
      <c r="H229" s="373">
        <f t="shared" si="108"/>
        <v>0</v>
      </c>
      <c r="I229" s="373">
        <f t="shared" si="108"/>
        <v>0</v>
      </c>
      <c r="J229" s="373">
        <f t="shared" si="108"/>
        <v>0</v>
      </c>
      <c r="K229" s="373">
        <f t="shared" si="108"/>
        <v>0</v>
      </c>
      <c r="L229" s="373">
        <f t="shared" si="108"/>
        <v>0</v>
      </c>
      <c r="M229" s="373">
        <f t="shared" si="108"/>
        <v>0</v>
      </c>
      <c r="N229" s="373">
        <f t="shared" si="108"/>
        <v>0</v>
      </c>
      <c r="O229" s="373">
        <f t="shared" si="108"/>
        <v>0</v>
      </c>
      <c r="P229" s="373">
        <f t="shared" si="108"/>
        <v>0</v>
      </c>
      <c r="Q229" s="373">
        <f t="shared" si="108"/>
        <v>0</v>
      </c>
      <c r="R229" s="373">
        <f t="shared" si="108"/>
        <v>0</v>
      </c>
      <c r="S229" s="373">
        <f t="shared" si="108"/>
        <v>0</v>
      </c>
      <c r="T229" s="373">
        <f t="shared" si="108"/>
        <v>0</v>
      </c>
      <c r="U229" s="373">
        <f t="shared" si="107"/>
        <v>0</v>
      </c>
      <c r="V229" s="373">
        <f t="shared" si="107"/>
        <v>0</v>
      </c>
      <c r="W229" s="373">
        <f t="shared" si="107"/>
        <v>0</v>
      </c>
      <c r="X229" s="373">
        <f t="shared" si="107"/>
        <v>0</v>
      </c>
      <c r="Y229" s="373">
        <f t="shared" si="107"/>
        <v>0</v>
      </c>
      <c r="Z229" s="373">
        <f t="shared" si="107"/>
        <v>0</v>
      </c>
      <c r="AA229" s="373">
        <f t="shared" si="107"/>
        <v>0</v>
      </c>
      <c r="AB229" s="373">
        <f t="shared" si="105"/>
        <v>0</v>
      </c>
      <c r="AC229" s="373">
        <f t="shared" si="106"/>
        <v>0</v>
      </c>
      <c r="AD229" s="373">
        <f t="shared" si="106"/>
        <v>0</v>
      </c>
      <c r="AE229" s="373">
        <f t="shared" si="106"/>
        <v>0</v>
      </c>
      <c r="AF229" s="373">
        <f t="shared" si="106"/>
        <v>0</v>
      </c>
      <c r="AG229" s="373">
        <f t="shared" si="106"/>
        <v>0</v>
      </c>
      <c r="AH229" s="373">
        <f t="shared" si="106"/>
        <v>0</v>
      </c>
      <c r="AI229" s="373">
        <f t="shared" si="106"/>
        <v>240.40324014417649</v>
      </c>
      <c r="AJ229" s="393"/>
    </row>
    <row r="230" spans="1:36" s="357" customFormat="1" ht="12">
      <c r="A230" s="504">
        <v>30</v>
      </c>
      <c r="B230" s="393">
        <v>6010.0810036044122</v>
      </c>
      <c r="C230" s="453">
        <v>25</v>
      </c>
      <c r="D230" s="393"/>
      <c r="E230" s="373">
        <f t="shared" si="108"/>
        <v>0</v>
      </c>
      <c r="F230" s="373">
        <f t="shared" si="108"/>
        <v>0</v>
      </c>
      <c r="G230" s="373">
        <f t="shared" si="108"/>
        <v>0</v>
      </c>
      <c r="H230" s="373">
        <f t="shared" si="108"/>
        <v>0</v>
      </c>
      <c r="I230" s="373">
        <f t="shared" si="108"/>
        <v>0</v>
      </c>
      <c r="J230" s="373">
        <f t="shared" si="108"/>
        <v>0</v>
      </c>
      <c r="K230" s="373">
        <f t="shared" si="108"/>
        <v>0</v>
      </c>
      <c r="L230" s="373">
        <f t="shared" si="108"/>
        <v>0</v>
      </c>
      <c r="M230" s="373">
        <f t="shared" si="108"/>
        <v>0</v>
      </c>
      <c r="N230" s="373">
        <f t="shared" si="108"/>
        <v>0</v>
      </c>
      <c r="O230" s="373">
        <f t="shared" si="108"/>
        <v>0</v>
      </c>
      <c r="P230" s="373">
        <f t="shared" si="108"/>
        <v>0</v>
      </c>
      <c r="Q230" s="373">
        <f t="shared" si="108"/>
        <v>0</v>
      </c>
      <c r="R230" s="373">
        <f t="shared" si="108"/>
        <v>0</v>
      </c>
      <c r="S230" s="373">
        <f t="shared" si="108"/>
        <v>0</v>
      </c>
      <c r="T230" s="373">
        <f t="shared" si="108"/>
        <v>0</v>
      </c>
      <c r="U230" s="373">
        <f t="shared" si="107"/>
        <v>0</v>
      </c>
      <c r="V230" s="373">
        <f t="shared" si="107"/>
        <v>0</v>
      </c>
      <c r="W230" s="373">
        <f t="shared" si="107"/>
        <v>0</v>
      </c>
      <c r="X230" s="373">
        <f t="shared" si="107"/>
        <v>0</v>
      </c>
      <c r="Y230" s="373">
        <f t="shared" si="107"/>
        <v>0</v>
      </c>
      <c r="Z230" s="373">
        <f t="shared" si="107"/>
        <v>0</v>
      </c>
      <c r="AA230" s="373">
        <f t="shared" si="107"/>
        <v>0</v>
      </c>
      <c r="AB230" s="373">
        <f t="shared" si="105"/>
        <v>0</v>
      </c>
      <c r="AC230" s="373">
        <f t="shared" si="106"/>
        <v>0</v>
      </c>
      <c r="AD230" s="373">
        <f t="shared" si="106"/>
        <v>0</v>
      </c>
      <c r="AE230" s="373">
        <f t="shared" si="106"/>
        <v>0</v>
      </c>
      <c r="AF230" s="373">
        <f t="shared" si="106"/>
        <v>0</v>
      </c>
      <c r="AG230" s="373">
        <f t="shared" si="106"/>
        <v>0</v>
      </c>
      <c r="AH230" s="373">
        <f t="shared" si="106"/>
        <v>0</v>
      </c>
      <c r="AI230" s="373">
        <f t="shared" si="106"/>
        <v>0</v>
      </c>
      <c r="AJ230" s="393"/>
    </row>
    <row r="231" spans="1:36" s="357" customFormat="1" ht="12"/>
    <row r="232" spans="1:36" s="357" customFormat="1" ht="12">
      <c r="B232" s="357" t="s">
        <v>669</v>
      </c>
      <c r="E232" s="393">
        <f>SUM(E200:E230)</f>
        <v>0</v>
      </c>
      <c r="F232" s="393">
        <f t="shared" ref="F232:AI232" si="109">SUM(F200:F230)</f>
        <v>0</v>
      </c>
      <c r="G232" s="393">
        <f t="shared" si="109"/>
        <v>1102.0645425671842</v>
      </c>
      <c r="H232" s="393">
        <f t="shared" si="109"/>
        <v>2231.680698698548</v>
      </c>
      <c r="I232" s="393">
        <f t="shared" si="109"/>
        <v>2372.7048364561379</v>
      </c>
      <c r="J232" s="393">
        <f t="shared" si="109"/>
        <v>4560.9887232237306</v>
      </c>
      <c r="K232" s="393">
        <f t="shared" si="109"/>
        <v>7443.7238855287796</v>
      </c>
      <c r="L232" s="393">
        <f t="shared" si="109"/>
        <v>9083.9625630274695</v>
      </c>
      <c r="M232" s="393">
        <f t="shared" si="109"/>
        <v>10100.442405446918</v>
      </c>
      <c r="N232" s="393">
        <f t="shared" si="109"/>
        <v>10451.349483428134</v>
      </c>
      <c r="O232" s="393">
        <f t="shared" si="109"/>
        <v>10738.29321682981</v>
      </c>
      <c r="P232" s="393">
        <f t="shared" si="109"/>
        <v>10978.696456973987</v>
      </c>
      <c r="Q232" s="393">
        <f t="shared" si="109"/>
        <v>11219.099697118163</v>
      </c>
      <c r="R232" s="393">
        <f t="shared" si="109"/>
        <v>11459.502937262339</v>
      </c>
      <c r="S232" s="393">
        <f t="shared" si="109"/>
        <v>11699.906177406516</v>
      </c>
      <c r="T232" s="393">
        <f t="shared" si="109"/>
        <v>11940.309417550692</v>
      </c>
      <c r="U232" s="393">
        <f t="shared" si="109"/>
        <v>12180.712657694869</v>
      </c>
      <c r="V232" s="393">
        <f t="shared" si="109"/>
        <v>12421.115897839045</v>
      </c>
      <c r="W232" s="393">
        <f t="shared" si="109"/>
        <v>12661.519137983221</v>
      </c>
      <c r="X232" s="393">
        <f t="shared" si="109"/>
        <v>12901.922378127398</v>
      </c>
      <c r="Y232" s="393">
        <f t="shared" si="109"/>
        <v>13142.325618271574</v>
      </c>
      <c r="Z232" s="393">
        <f t="shared" si="109"/>
        <v>13382.72885841575</v>
      </c>
      <c r="AA232" s="393">
        <f t="shared" si="109"/>
        <v>13623.132098559927</v>
      </c>
      <c r="AB232" s="393">
        <f t="shared" si="109"/>
        <v>13863.535338704103</v>
      </c>
      <c r="AC232" s="393">
        <f t="shared" si="109"/>
        <v>14103.93857884828</v>
      </c>
      <c r="AD232" s="393">
        <f t="shared" si="109"/>
        <v>14344.341818992456</v>
      </c>
      <c r="AE232" s="393">
        <f t="shared" si="109"/>
        <v>14584.745059136632</v>
      </c>
      <c r="AF232" s="393">
        <f t="shared" si="109"/>
        <v>13723.083756713626</v>
      </c>
      <c r="AG232" s="393">
        <f t="shared" si="109"/>
        <v>12833.870840726438</v>
      </c>
      <c r="AH232" s="393">
        <f t="shared" si="109"/>
        <v>12933.249943113024</v>
      </c>
      <c r="AI232" s="393">
        <f t="shared" si="109"/>
        <v>10985.369296489609</v>
      </c>
      <c r="AJ232" s="393"/>
    </row>
    <row r="233" spans="1:36" s="357" customFormat="1" ht="12">
      <c r="E233" s="393"/>
      <c r="F233" s="393"/>
      <c r="G233" s="393"/>
      <c r="H233" s="393"/>
      <c r="I233" s="393"/>
      <c r="J233" s="393"/>
      <c r="K233" s="393"/>
      <c r="L233" s="393"/>
      <c r="M233" s="393"/>
      <c r="N233" s="393"/>
      <c r="O233" s="393"/>
      <c r="P233" s="393"/>
      <c r="Q233" s="393"/>
      <c r="R233" s="393"/>
      <c r="S233" s="393"/>
      <c r="T233" s="393"/>
      <c r="U233" s="393"/>
      <c r="V233" s="393"/>
      <c r="W233" s="393"/>
      <c r="X233" s="393"/>
      <c r="Y233" s="393"/>
      <c r="Z233" s="393"/>
      <c r="AA233" s="393"/>
      <c r="AB233" s="393"/>
      <c r="AC233" s="393"/>
      <c r="AD233" s="393"/>
      <c r="AE233" s="393"/>
      <c r="AF233" s="393"/>
      <c r="AG233" s="393"/>
      <c r="AH233" s="393"/>
      <c r="AI233" s="393"/>
      <c r="AJ233" s="393"/>
    </row>
    <row r="234" spans="1:36" s="357" customFormat="1" ht="12">
      <c r="B234" s="357" t="s">
        <v>424</v>
      </c>
      <c r="E234" s="393">
        <v>0</v>
      </c>
      <c r="F234" s="393">
        <f>E237</f>
        <v>0</v>
      </c>
      <c r="G234" s="393">
        <f t="shared" ref="G234:AI234" si="110">F237</f>
        <v>27551.613564179606</v>
      </c>
      <c r="H234" s="393">
        <f t="shared" si="110"/>
        <v>54689.952924896519</v>
      </c>
      <c r="I234" s="393">
        <f t="shared" si="110"/>
        <v>55983.875670137721</v>
      </c>
      <c r="J234" s="393">
        <f t="shared" si="110"/>
        <v>108318.26800287139</v>
      </c>
      <c r="K234" s="393">
        <f t="shared" si="110"/>
        <v>175825.6583372739</v>
      </c>
      <c r="L234" s="393">
        <f t="shared" si="110"/>
        <v>209387.90138921238</v>
      </c>
      <c r="M234" s="393">
        <f t="shared" si="110"/>
        <v>225715.93488667114</v>
      </c>
      <c r="N234" s="393">
        <f t="shared" si="110"/>
        <v>224388.16943075458</v>
      </c>
      <c r="O234" s="393">
        <f t="shared" si="110"/>
        <v>221110.41328236836</v>
      </c>
      <c r="P234" s="393">
        <f t="shared" si="110"/>
        <v>216382.20106914296</v>
      </c>
      <c r="Q234" s="393">
        <f t="shared" si="110"/>
        <v>211413.58561577337</v>
      </c>
      <c r="R234" s="393">
        <f t="shared" si="110"/>
        <v>206204.5669222596</v>
      </c>
      <c r="S234" s="393">
        <f t="shared" si="110"/>
        <v>200755.14498860168</v>
      </c>
      <c r="T234" s="393">
        <f t="shared" si="110"/>
        <v>195065.31981479956</v>
      </c>
      <c r="U234" s="393">
        <f t="shared" si="110"/>
        <v>189135.09140085327</v>
      </c>
      <c r="V234" s="393">
        <f t="shared" si="110"/>
        <v>182964.45974676279</v>
      </c>
      <c r="W234" s="393">
        <f t="shared" si="110"/>
        <v>176553.42485252814</v>
      </c>
      <c r="X234" s="393">
        <f t="shared" si="110"/>
        <v>169901.98671814933</v>
      </c>
      <c r="Y234" s="393">
        <f t="shared" si="110"/>
        <v>163010.14534362633</v>
      </c>
      <c r="Z234" s="393">
        <f t="shared" si="110"/>
        <v>155877.90072895915</v>
      </c>
      <c r="AA234" s="393">
        <f t="shared" si="110"/>
        <v>148505.25287414779</v>
      </c>
      <c r="AB234" s="393">
        <f t="shared" si="110"/>
        <v>140892.20177919226</v>
      </c>
      <c r="AC234" s="393">
        <f t="shared" si="110"/>
        <v>133038.74744409256</v>
      </c>
      <c r="AD234" s="393">
        <f t="shared" si="110"/>
        <v>124944.88986884868</v>
      </c>
      <c r="AE234" s="393">
        <f t="shared" si="110"/>
        <v>116610.62905346064</v>
      </c>
      <c r="AF234" s="393">
        <f t="shared" si="110"/>
        <v>108035.96499792841</v>
      </c>
      <c r="AG234" s="393">
        <f t="shared" si="110"/>
        <v>100322.96224481921</v>
      </c>
      <c r="AH234" s="393">
        <f t="shared" si="110"/>
        <v>93499.172407697188</v>
      </c>
      <c r="AI234" s="393">
        <f t="shared" si="110"/>
        <v>86576.003468188574</v>
      </c>
      <c r="AJ234" s="393"/>
    </row>
    <row r="235" spans="1:36" s="357" customFormat="1" ht="12">
      <c r="B235" s="357" t="s">
        <v>48</v>
      </c>
      <c r="E235" s="393">
        <f>E198</f>
        <v>0</v>
      </c>
      <c r="F235" s="393">
        <f t="shared" ref="F235:AI235" si="111">F198</f>
        <v>27551.613564179606</v>
      </c>
      <c r="G235" s="393">
        <f t="shared" si="111"/>
        <v>28240.403903284096</v>
      </c>
      <c r="H235" s="393">
        <f t="shared" si="111"/>
        <v>3525.6034439397495</v>
      </c>
      <c r="I235" s="393">
        <f t="shared" si="111"/>
        <v>54707.097169189816</v>
      </c>
      <c r="J235" s="393">
        <f t="shared" si="111"/>
        <v>72068.37905762624</v>
      </c>
      <c r="K235" s="393">
        <f t="shared" si="111"/>
        <v>41005.966937467252</v>
      </c>
      <c r="L235" s="393">
        <f t="shared" si="111"/>
        <v>25411.996060486232</v>
      </c>
      <c r="M235" s="393">
        <f t="shared" si="111"/>
        <v>8772.6769495303743</v>
      </c>
      <c r="N235" s="393">
        <f t="shared" si="111"/>
        <v>7173.5933350419127</v>
      </c>
      <c r="O235" s="393">
        <f t="shared" si="111"/>
        <v>6010.0810036044122</v>
      </c>
      <c r="P235" s="393">
        <f t="shared" si="111"/>
        <v>6010.0810036044122</v>
      </c>
      <c r="Q235" s="393">
        <f t="shared" si="111"/>
        <v>6010.0810036044122</v>
      </c>
      <c r="R235" s="393">
        <f t="shared" si="111"/>
        <v>6010.0810036044122</v>
      </c>
      <c r="S235" s="393">
        <f t="shared" si="111"/>
        <v>6010.0810036044122</v>
      </c>
      <c r="T235" s="393">
        <f t="shared" si="111"/>
        <v>6010.0810036044122</v>
      </c>
      <c r="U235" s="393">
        <f t="shared" si="111"/>
        <v>6010.0810036044122</v>
      </c>
      <c r="V235" s="393">
        <f t="shared" si="111"/>
        <v>6010.0810036044122</v>
      </c>
      <c r="W235" s="393">
        <f t="shared" si="111"/>
        <v>6010.0810036044122</v>
      </c>
      <c r="X235" s="393">
        <f t="shared" si="111"/>
        <v>6010.0810036044122</v>
      </c>
      <c r="Y235" s="393">
        <f t="shared" si="111"/>
        <v>6010.0810036044122</v>
      </c>
      <c r="Z235" s="393">
        <f t="shared" si="111"/>
        <v>6010.0810036044122</v>
      </c>
      <c r="AA235" s="393">
        <f t="shared" si="111"/>
        <v>6010.0810036044122</v>
      </c>
      <c r="AB235" s="393">
        <f t="shared" si="111"/>
        <v>6010.0810036044122</v>
      </c>
      <c r="AC235" s="393">
        <f t="shared" si="111"/>
        <v>6010.0810036044122</v>
      </c>
      <c r="AD235" s="393">
        <f t="shared" si="111"/>
        <v>6010.0810036044122</v>
      </c>
      <c r="AE235" s="393">
        <f t="shared" si="111"/>
        <v>6010.0810036044122</v>
      </c>
      <c r="AF235" s="393">
        <f t="shared" si="111"/>
        <v>6010.0810036044122</v>
      </c>
      <c r="AG235" s="393">
        <f t="shared" si="111"/>
        <v>6010.0810036044122</v>
      </c>
      <c r="AH235" s="393">
        <f t="shared" si="111"/>
        <v>6010.0810036044122</v>
      </c>
      <c r="AI235" s="393">
        <f t="shared" si="111"/>
        <v>6010.0810036044122</v>
      </c>
      <c r="AJ235" s="393"/>
    </row>
    <row r="236" spans="1:36" s="357" customFormat="1" ht="12">
      <c r="B236" s="357" t="s">
        <v>49</v>
      </c>
      <c r="E236" s="393">
        <f>-E232</f>
        <v>0</v>
      </c>
      <c r="F236" s="393">
        <f t="shared" ref="F236:AI236" si="112">-F232</f>
        <v>0</v>
      </c>
      <c r="G236" s="393">
        <f t="shared" si="112"/>
        <v>-1102.0645425671842</v>
      </c>
      <c r="H236" s="393">
        <f t="shared" si="112"/>
        <v>-2231.680698698548</v>
      </c>
      <c r="I236" s="393">
        <f t="shared" si="112"/>
        <v>-2372.7048364561379</v>
      </c>
      <c r="J236" s="393">
        <f t="shared" si="112"/>
        <v>-4560.9887232237306</v>
      </c>
      <c r="K236" s="393">
        <f t="shared" si="112"/>
        <v>-7443.7238855287796</v>
      </c>
      <c r="L236" s="393">
        <f t="shared" si="112"/>
        <v>-9083.9625630274695</v>
      </c>
      <c r="M236" s="393">
        <f t="shared" si="112"/>
        <v>-10100.442405446918</v>
      </c>
      <c r="N236" s="393">
        <f t="shared" si="112"/>
        <v>-10451.349483428134</v>
      </c>
      <c r="O236" s="393">
        <f t="shared" si="112"/>
        <v>-10738.29321682981</v>
      </c>
      <c r="P236" s="393">
        <f t="shared" si="112"/>
        <v>-10978.696456973987</v>
      </c>
      <c r="Q236" s="393">
        <f t="shared" si="112"/>
        <v>-11219.099697118163</v>
      </c>
      <c r="R236" s="393">
        <f t="shared" si="112"/>
        <v>-11459.502937262339</v>
      </c>
      <c r="S236" s="393">
        <f t="shared" si="112"/>
        <v>-11699.906177406516</v>
      </c>
      <c r="T236" s="393">
        <f t="shared" si="112"/>
        <v>-11940.309417550692</v>
      </c>
      <c r="U236" s="393">
        <f t="shared" si="112"/>
        <v>-12180.712657694869</v>
      </c>
      <c r="V236" s="393">
        <f t="shared" si="112"/>
        <v>-12421.115897839045</v>
      </c>
      <c r="W236" s="393">
        <f t="shared" si="112"/>
        <v>-12661.519137983221</v>
      </c>
      <c r="X236" s="393">
        <f t="shared" si="112"/>
        <v>-12901.922378127398</v>
      </c>
      <c r="Y236" s="393">
        <f t="shared" si="112"/>
        <v>-13142.325618271574</v>
      </c>
      <c r="Z236" s="393">
        <f t="shared" si="112"/>
        <v>-13382.72885841575</v>
      </c>
      <c r="AA236" s="393">
        <f t="shared" si="112"/>
        <v>-13623.132098559927</v>
      </c>
      <c r="AB236" s="393">
        <f t="shared" si="112"/>
        <v>-13863.535338704103</v>
      </c>
      <c r="AC236" s="393">
        <f t="shared" si="112"/>
        <v>-14103.93857884828</v>
      </c>
      <c r="AD236" s="393">
        <f t="shared" si="112"/>
        <v>-14344.341818992456</v>
      </c>
      <c r="AE236" s="393">
        <f t="shared" si="112"/>
        <v>-14584.745059136632</v>
      </c>
      <c r="AF236" s="393">
        <f t="shared" si="112"/>
        <v>-13723.083756713626</v>
      </c>
      <c r="AG236" s="393">
        <f t="shared" si="112"/>
        <v>-12833.870840726438</v>
      </c>
      <c r="AH236" s="393">
        <f t="shared" si="112"/>
        <v>-12933.249943113024</v>
      </c>
      <c r="AI236" s="393">
        <f t="shared" si="112"/>
        <v>-10985.369296489609</v>
      </c>
      <c r="AJ236" s="393"/>
    </row>
    <row r="237" spans="1:36" s="357" customFormat="1" ht="12">
      <c r="B237" s="357" t="s">
        <v>425</v>
      </c>
      <c r="E237" s="393">
        <f>E234+E235+E236</f>
        <v>0</v>
      </c>
      <c r="F237" s="393">
        <f t="shared" ref="F237:AI237" si="113">F234+F235+F236</f>
        <v>27551.613564179606</v>
      </c>
      <c r="G237" s="393">
        <f t="shared" si="113"/>
        <v>54689.952924896519</v>
      </c>
      <c r="H237" s="393">
        <f t="shared" si="113"/>
        <v>55983.875670137721</v>
      </c>
      <c r="I237" s="393">
        <f t="shared" si="113"/>
        <v>108318.26800287139</v>
      </c>
      <c r="J237" s="393">
        <f t="shared" si="113"/>
        <v>175825.6583372739</v>
      </c>
      <c r="K237" s="393">
        <f t="shared" si="113"/>
        <v>209387.90138921238</v>
      </c>
      <c r="L237" s="393">
        <f t="shared" si="113"/>
        <v>225715.93488667114</v>
      </c>
      <c r="M237" s="393">
        <f t="shared" si="113"/>
        <v>224388.16943075458</v>
      </c>
      <c r="N237" s="393">
        <f t="shared" si="113"/>
        <v>221110.41328236836</v>
      </c>
      <c r="O237" s="393">
        <f t="shared" si="113"/>
        <v>216382.20106914296</v>
      </c>
      <c r="P237" s="393">
        <f t="shared" si="113"/>
        <v>211413.58561577337</v>
      </c>
      <c r="Q237" s="393">
        <f t="shared" si="113"/>
        <v>206204.5669222596</v>
      </c>
      <c r="R237" s="393">
        <f t="shared" si="113"/>
        <v>200755.14498860168</v>
      </c>
      <c r="S237" s="393">
        <f t="shared" si="113"/>
        <v>195065.31981479956</v>
      </c>
      <c r="T237" s="393">
        <f t="shared" si="113"/>
        <v>189135.09140085327</v>
      </c>
      <c r="U237" s="393">
        <f t="shared" si="113"/>
        <v>182964.45974676279</v>
      </c>
      <c r="V237" s="393">
        <f t="shared" si="113"/>
        <v>176553.42485252814</v>
      </c>
      <c r="W237" s="393">
        <f t="shared" si="113"/>
        <v>169901.98671814933</v>
      </c>
      <c r="X237" s="393">
        <f t="shared" si="113"/>
        <v>163010.14534362633</v>
      </c>
      <c r="Y237" s="393">
        <f t="shared" si="113"/>
        <v>155877.90072895915</v>
      </c>
      <c r="Z237" s="393">
        <f t="shared" si="113"/>
        <v>148505.25287414779</v>
      </c>
      <c r="AA237" s="393">
        <f t="shared" si="113"/>
        <v>140892.20177919226</v>
      </c>
      <c r="AB237" s="393">
        <f t="shared" si="113"/>
        <v>133038.74744409256</v>
      </c>
      <c r="AC237" s="393">
        <f t="shared" si="113"/>
        <v>124944.88986884868</v>
      </c>
      <c r="AD237" s="393">
        <f t="shared" si="113"/>
        <v>116610.62905346064</v>
      </c>
      <c r="AE237" s="393">
        <f t="shared" si="113"/>
        <v>108035.96499792841</v>
      </c>
      <c r="AF237" s="393">
        <f t="shared" si="113"/>
        <v>100322.96224481921</v>
      </c>
      <c r="AG237" s="393">
        <f t="shared" si="113"/>
        <v>93499.172407697188</v>
      </c>
      <c r="AH237" s="393">
        <f t="shared" si="113"/>
        <v>86576.003468188574</v>
      </c>
      <c r="AI237" s="393">
        <f t="shared" si="113"/>
        <v>81600.715175303383</v>
      </c>
      <c r="AJ237" s="393"/>
    </row>
    <row r="238" spans="1:36" s="357" customFormat="1" ht="12"/>
    <row r="239" spans="1:36" s="357" customFormat="1" ht="12"/>
  </sheetData>
  <sheetProtection algorithmName="SHA-512" hashValue="PkQ7uTnJ9M1+2UIaNASeO2OAAY/60LgIGcJUvWgzg35gC4As+i6i6cbS7SFNMIQNjoy5GLuAi/n+cVl9cVyozQ==" saltValue="/UUXYe/2035kK/ppp75wYQ==" spinCount="100000" sheet="1" objects="1" scenarios="1"/>
  <phoneticPr fontId="19" type="noConversion"/>
  <dataValidations count="1">
    <dataValidation type="list" allowBlank="1" showInputMessage="1" showErrorMessage="1" sqref="C21" xr:uid="{00242659-5ABB-4FB8-8AA2-920F1319BD03}">
      <formula1>"Real, Presumido"</formula1>
    </dataValidation>
  </dataValidation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D9CB-DE38-431B-B8F3-8482D2B85AAA}">
  <sheetPr>
    <tabColor theme="0" tint="-0.34998626667073579"/>
    <outlinePr summaryBelow="0"/>
  </sheetPr>
  <dimension ref="A1:AX519"/>
  <sheetViews>
    <sheetView showGridLines="0" zoomScale="85" zoomScaleNormal="85" workbookViewId="0">
      <pane xSplit="5" ySplit="2" topLeftCell="F3" activePane="bottomRight" state="frozen"/>
      <selection pane="topRight" activeCell="F1" sqref="F1"/>
      <selection pane="bottomLeft" activeCell="A3" sqref="A3"/>
      <selection pane="bottomRight" activeCell="A3" sqref="A3"/>
    </sheetView>
  </sheetViews>
  <sheetFormatPr defaultColWidth="0" defaultRowHeight="12.95" customHeight="1" zeroHeight="1" outlineLevelRow="1"/>
  <cols>
    <col min="1" max="1" width="9" style="11" customWidth="1"/>
    <col min="2" max="2" width="30.140625" style="11" customWidth="1"/>
    <col min="3" max="3" width="7.140625" style="129" customWidth="1"/>
    <col min="4" max="4" width="14.5703125" style="11" customWidth="1"/>
    <col min="5" max="5" width="14.85546875" style="11" customWidth="1"/>
    <col min="6" max="36" width="11.140625" style="11" customWidth="1"/>
    <col min="37" max="37" width="12.140625" style="11" customWidth="1"/>
    <col min="38" max="38" width="5.85546875" style="11" hidden="1" customWidth="1"/>
    <col min="39" max="50" width="0" style="11" hidden="1" customWidth="1"/>
    <col min="51" max="16384" width="9.5703125" style="11" hidden="1"/>
  </cols>
  <sheetData>
    <row r="1" spans="1:50" s="58" customFormat="1" ht="30">
      <c r="A1" s="54"/>
      <c r="B1" s="55"/>
      <c r="C1" s="219"/>
      <c r="D1" s="56" t="s">
        <v>327</v>
      </c>
      <c r="E1" s="57"/>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216"/>
      <c r="AN1" s="216"/>
      <c r="AO1" s="216"/>
      <c r="AP1" s="216"/>
      <c r="AQ1" s="216"/>
      <c r="AR1" s="216"/>
      <c r="AS1" s="216"/>
      <c r="AT1" s="216"/>
      <c r="AU1" s="216"/>
      <c r="AV1" s="216"/>
      <c r="AW1" s="216"/>
      <c r="AX1" s="216"/>
    </row>
    <row r="2" spans="1:50" s="218" customFormat="1" ht="12">
      <c r="A2" s="215">
        <f>D42</f>
        <v>0.14668182050330203</v>
      </c>
      <c r="B2" s="205">
        <f>D41</f>
        <v>154820.27245697155</v>
      </c>
      <c r="C2" s="220" t="s">
        <v>81</v>
      </c>
      <c r="D2" s="206" t="s">
        <v>336</v>
      </c>
      <c r="E2" s="207" t="s">
        <v>1</v>
      </c>
      <c r="F2" s="208" t="s">
        <v>100</v>
      </c>
      <c r="G2" s="209" t="s">
        <v>101</v>
      </c>
      <c r="H2" s="209" t="s">
        <v>102</v>
      </c>
      <c r="I2" s="208" t="s">
        <v>103</v>
      </c>
      <c r="J2" s="209" t="s">
        <v>104</v>
      </c>
      <c r="K2" s="209" t="s">
        <v>105</v>
      </c>
      <c r="L2" s="208" t="s">
        <v>106</v>
      </c>
      <c r="M2" s="209" t="s">
        <v>107</v>
      </c>
      <c r="N2" s="209" t="s">
        <v>108</v>
      </c>
      <c r="O2" s="208" t="s">
        <v>109</v>
      </c>
      <c r="P2" s="209" t="s">
        <v>110</v>
      </c>
      <c r="Q2" s="209" t="s">
        <v>111</v>
      </c>
      <c r="R2" s="208" t="s">
        <v>112</v>
      </c>
      <c r="S2" s="209" t="s">
        <v>113</v>
      </c>
      <c r="T2" s="209" t="s">
        <v>114</v>
      </c>
      <c r="U2" s="208" t="s">
        <v>115</v>
      </c>
      <c r="V2" s="209" t="s">
        <v>116</v>
      </c>
      <c r="W2" s="209" t="s">
        <v>117</v>
      </c>
      <c r="X2" s="208" t="s">
        <v>118</v>
      </c>
      <c r="Y2" s="209" t="s">
        <v>119</v>
      </c>
      <c r="Z2" s="209" t="s">
        <v>120</v>
      </c>
      <c r="AA2" s="208" t="s">
        <v>121</v>
      </c>
      <c r="AB2" s="209" t="s">
        <v>122</v>
      </c>
      <c r="AC2" s="209" t="s">
        <v>123</v>
      </c>
      <c r="AD2" s="209" t="s">
        <v>435</v>
      </c>
      <c r="AE2" s="209" t="s">
        <v>436</v>
      </c>
      <c r="AF2" s="209" t="s">
        <v>437</v>
      </c>
      <c r="AG2" s="209" t="s">
        <v>438</v>
      </c>
      <c r="AH2" s="209" t="s">
        <v>439</v>
      </c>
      <c r="AI2" s="209" t="s">
        <v>440</v>
      </c>
      <c r="AJ2" s="209" t="s">
        <v>441</v>
      </c>
      <c r="AK2" s="209" t="s">
        <v>124</v>
      </c>
      <c r="AL2" s="209"/>
      <c r="AM2" s="217"/>
      <c r="AN2" s="217"/>
      <c r="AO2" s="217"/>
      <c r="AP2" s="217"/>
      <c r="AQ2" s="217"/>
      <c r="AR2" s="217"/>
      <c r="AS2" s="217"/>
      <c r="AT2" s="217"/>
      <c r="AU2" s="217"/>
      <c r="AV2" s="217"/>
      <c r="AW2" s="217"/>
      <c r="AX2" s="217"/>
    </row>
    <row r="3" spans="1:50" s="527" customFormat="1" ht="12.75">
      <c r="B3" s="37"/>
      <c r="C3" s="528"/>
      <c r="F3" s="529"/>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row>
    <row r="4" spans="1:50" ht="12.95" customHeight="1"/>
    <row r="5" spans="1:50" ht="15" customHeight="1">
      <c r="A5" s="508"/>
      <c r="B5" s="508" t="s">
        <v>354</v>
      </c>
      <c r="C5" s="509"/>
      <c r="D5" s="508"/>
      <c r="E5" s="508"/>
      <c r="F5" s="508"/>
      <c r="G5" s="508"/>
      <c r="H5" s="508"/>
      <c r="I5" s="508"/>
      <c r="J5" s="508"/>
      <c r="K5" s="508"/>
      <c r="L5" s="508"/>
      <c r="M5" s="508"/>
      <c r="N5" s="508"/>
      <c r="O5" s="508"/>
      <c r="P5" s="508"/>
      <c r="Q5" s="508"/>
      <c r="R5" s="508"/>
      <c r="S5" s="508"/>
      <c r="T5" s="508"/>
      <c r="U5" s="508"/>
      <c r="V5" s="508"/>
      <c r="W5" s="508"/>
      <c r="X5" s="508"/>
      <c r="Y5" s="508"/>
      <c r="Z5" s="508"/>
      <c r="AA5" s="508"/>
      <c r="AB5" s="508"/>
      <c r="AC5" s="508"/>
      <c r="AD5" s="508"/>
      <c r="AE5" s="508"/>
      <c r="AF5" s="508"/>
      <c r="AG5" s="508"/>
      <c r="AH5" s="508"/>
      <c r="AI5" s="508"/>
      <c r="AJ5" s="508"/>
      <c r="AK5" s="508"/>
      <c r="AL5" s="508"/>
    </row>
    <row r="6" spans="1:50" ht="15" customHeight="1">
      <c r="A6" s="510"/>
      <c r="B6" s="510" t="s">
        <v>19</v>
      </c>
      <c r="C6" s="511"/>
      <c r="D6" s="512" t="s">
        <v>40</v>
      </c>
      <c r="E6" s="512" t="s">
        <v>1</v>
      </c>
      <c r="F6" s="513" t="str" cm="1">
        <f t="array" ref="F6:AK6">F2:AK2</f>
        <v>Ano 0</v>
      </c>
      <c r="G6" s="512" t="str">
        <v>Ano 1</v>
      </c>
      <c r="H6" s="512" t="str">
        <v>Ano 2</v>
      </c>
      <c r="I6" s="512" t="str">
        <v>Ano 3</v>
      </c>
      <c r="J6" s="512" t="str">
        <v>Ano 4</v>
      </c>
      <c r="K6" s="512" t="str">
        <v>Ano 5</v>
      </c>
      <c r="L6" s="512" t="str">
        <v>Ano 6</v>
      </c>
      <c r="M6" s="512" t="str">
        <v>Ano 7</v>
      </c>
      <c r="N6" s="512" t="str">
        <v>Ano 8</v>
      </c>
      <c r="O6" s="512" t="str">
        <v>Ano 9</v>
      </c>
      <c r="P6" s="512" t="str">
        <v>Ano 10</v>
      </c>
      <c r="Q6" s="512" t="str">
        <v>Ano 11</v>
      </c>
      <c r="R6" s="512" t="str">
        <v>Ano 12</v>
      </c>
      <c r="S6" s="512" t="str">
        <v>Ano 13</v>
      </c>
      <c r="T6" s="512" t="str">
        <v>Ano 14</v>
      </c>
      <c r="U6" s="512" t="str">
        <v>Ano 15</v>
      </c>
      <c r="V6" s="512" t="str">
        <v>Ano 16</v>
      </c>
      <c r="W6" s="512" t="str">
        <v>Ano 17</v>
      </c>
      <c r="X6" s="512" t="str">
        <v>Ano 18</v>
      </c>
      <c r="Y6" s="512" t="str">
        <v>Ano 19</v>
      </c>
      <c r="Z6" s="512" t="str">
        <v>Ano 20</v>
      </c>
      <c r="AA6" s="512" t="str">
        <v>Ano 21</v>
      </c>
      <c r="AB6" s="512" t="str">
        <v>Ano 22</v>
      </c>
      <c r="AC6" s="512" t="str">
        <v>Ano 23</v>
      </c>
      <c r="AD6" s="512" t="str">
        <v>Ano 24</v>
      </c>
      <c r="AE6" s="512" t="str">
        <v>Ano 25</v>
      </c>
      <c r="AF6" s="512" t="str">
        <v>Ano 26</v>
      </c>
      <c r="AG6" s="512" t="str">
        <v>Ano 27</v>
      </c>
      <c r="AH6" s="512" t="str">
        <v>Ano 28</v>
      </c>
      <c r="AI6" s="512" t="str">
        <v>Ano 29</v>
      </c>
      <c r="AJ6" s="512" t="str">
        <v>Ano 30</v>
      </c>
      <c r="AK6" s="512" t="str">
        <v>Perpetuidade</v>
      </c>
      <c r="AL6" s="510"/>
    </row>
    <row r="7" spans="1:50" s="19" customFormat="1" ht="15" customHeight="1" outlineLevel="1">
      <c r="B7" s="19" t="s">
        <v>20</v>
      </c>
      <c r="C7" s="514" t="s">
        <v>21</v>
      </c>
      <c r="D7" s="515">
        <f>NPV('Premissas e Cálculos'!$D$35,G7:AK7)+F7</f>
        <v>517481.21214991558</v>
      </c>
      <c r="E7" s="516">
        <f t="shared" ref="E7:E18" si="0">SUM(F7:AC7)</f>
        <v>1287374.6220000004</v>
      </c>
      <c r="F7" s="517">
        <f>F8+F9</f>
        <v>0</v>
      </c>
      <c r="G7" s="517">
        <f t="shared" ref="G7:AC7" si="1">G8+G9</f>
        <v>0</v>
      </c>
      <c r="H7" s="517">
        <f t="shared" si="1"/>
        <v>0</v>
      </c>
      <c r="I7" s="517">
        <f t="shared" si="1"/>
        <v>10218.611999999999</v>
      </c>
      <c r="J7" s="517">
        <f t="shared" si="1"/>
        <v>18476.243999999999</v>
      </c>
      <c r="K7" s="517">
        <f t="shared" si="1"/>
        <v>18476.243999999999</v>
      </c>
      <c r="L7" s="517">
        <f t="shared" si="1"/>
        <v>34422.654000000002</v>
      </c>
      <c r="M7" s="517">
        <f t="shared" si="1"/>
        <v>56252.003999999994</v>
      </c>
      <c r="N7" s="517">
        <f t="shared" si="1"/>
        <v>68104.073999999993</v>
      </c>
      <c r="O7" s="517">
        <f t="shared" si="1"/>
        <v>72094.986000000004</v>
      </c>
      <c r="P7" s="517">
        <f t="shared" si="1"/>
        <v>72094.986000000004</v>
      </c>
      <c r="Q7" s="517">
        <f t="shared" si="1"/>
        <v>72094.986000000004</v>
      </c>
      <c r="R7" s="517">
        <f t="shared" si="1"/>
        <v>72094.986000000004</v>
      </c>
      <c r="S7" s="517">
        <f t="shared" si="1"/>
        <v>72094.986000000004</v>
      </c>
      <c r="T7" s="517">
        <f t="shared" si="1"/>
        <v>72094.986000000004</v>
      </c>
      <c r="U7" s="517">
        <f t="shared" si="1"/>
        <v>72094.986000000004</v>
      </c>
      <c r="V7" s="517">
        <f t="shared" si="1"/>
        <v>72094.986000000004</v>
      </c>
      <c r="W7" s="517">
        <f t="shared" si="1"/>
        <v>72094.986000000004</v>
      </c>
      <c r="X7" s="517">
        <f t="shared" si="1"/>
        <v>72094.986000000004</v>
      </c>
      <c r="Y7" s="517">
        <f t="shared" si="1"/>
        <v>72094.986000000004</v>
      </c>
      <c r="Z7" s="517">
        <f t="shared" si="1"/>
        <v>72094.986000000004</v>
      </c>
      <c r="AA7" s="517">
        <f t="shared" si="1"/>
        <v>72094.986000000004</v>
      </c>
      <c r="AB7" s="517">
        <f t="shared" si="1"/>
        <v>72094.986000000004</v>
      </c>
      <c r="AC7" s="517">
        <f t="shared" si="1"/>
        <v>72094.986000000004</v>
      </c>
      <c r="AD7" s="517">
        <f t="shared" ref="AD7:AJ7" si="2">AD8+AD9</f>
        <v>72094.986000000004</v>
      </c>
      <c r="AE7" s="517">
        <f t="shared" si="2"/>
        <v>72094.986000000004</v>
      </c>
      <c r="AF7" s="517">
        <f t="shared" si="2"/>
        <v>72094.986000000004</v>
      </c>
      <c r="AG7" s="517">
        <f t="shared" si="2"/>
        <v>72094.986000000004</v>
      </c>
      <c r="AH7" s="517">
        <f t="shared" si="2"/>
        <v>72094.986000000004</v>
      </c>
      <c r="AI7" s="517">
        <f t="shared" si="2"/>
        <v>72094.986000000004</v>
      </c>
      <c r="AJ7" s="517">
        <f t="shared" si="2"/>
        <v>72094.986000000004</v>
      </c>
      <c r="AK7" s="35"/>
    </row>
    <row r="8" spans="1:50" ht="15" customHeight="1" outlineLevel="1">
      <c r="B8" s="37" t="s">
        <v>343</v>
      </c>
      <c r="C8" s="129" t="s">
        <v>21</v>
      </c>
      <c r="D8" s="515">
        <f>NPV('Premissas e Cálculos'!$D$35,G8:AK8)+F8</f>
        <v>505591.29345389234</v>
      </c>
      <c r="E8" s="515">
        <f t="shared" si="0"/>
        <v>1258949.1600000004</v>
      </c>
      <c r="F8" s="518">
        <f>'Premissas e Cálculos'!E81</f>
        <v>0</v>
      </c>
      <c r="G8" s="518">
        <f>'Premissas e Cálculos'!F81</f>
        <v>0</v>
      </c>
      <c r="H8" s="518">
        <f>'Premissas e Cálculos'!G81</f>
        <v>0</v>
      </c>
      <c r="I8" s="518">
        <f>'Premissas e Cálculos'!H81</f>
        <v>9804.9</v>
      </c>
      <c r="J8" s="518">
        <f>'Premissas e Cálculos'!I81</f>
        <v>17648.82</v>
      </c>
      <c r="K8" s="518">
        <f>'Premissas e Cálculos'!J81</f>
        <v>17648.82</v>
      </c>
      <c r="L8" s="518">
        <f>'Premissas e Cálculos'!K81</f>
        <v>33336.660000000003</v>
      </c>
      <c r="M8" s="518">
        <f>'Premissas e Cálculos'!L81</f>
        <v>54907.439999999995</v>
      </c>
      <c r="N8" s="518">
        <f>'Premissas e Cálculos'!M81</f>
        <v>66673.319999999992</v>
      </c>
      <c r="O8" s="518">
        <f>'Premissas e Cálculos'!N81</f>
        <v>70595.28</v>
      </c>
      <c r="P8" s="518">
        <f>'Premissas e Cálculos'!O81</f>
        <v>70595.28</v>
      </c>
      <c r="Q8" s="518">
        <f>'Premissas e Cálculos'!P81</f>
        <v>70595.28</v>
      </c>
      <c r="R8" s="518">
        <f>'Premissas e Cálculos'!Q81</f>
        <v>70595.28</v>
      </c>
      <c r="S8" s="518">
        <f>'Premissas e Cálculos'!R81</f>
        <v>70595.28</v>
      </c>
      <c r="T8" s="518">
        <f>'Premissas e Cálculos'!S81</f>
        <v>70595.28</v>
      </c>
      <c r="U8" s="518">
        <f>'Premissas e Cálculos'!T81</f>
        <v>70595.28</v>
      </c>
      <c r="V8" s="518">
        <f>'Premissas e Cálculos'!U81</f>
        <v>70595.28</v>
      </c>
      <c r="W8" s="518">
        <f>'Premissas e Cálculos'!V81</f>
        <v>70595.28</v>
      </c>
      <c r="X8" s="518">
        <f>'Premissas e Cálculos'!W81</f>
        <v>70595.28</v>
      </c>
      <c r="Y8" s="518">
        <f>'Premissas e Cálculos'!X81</f>
        <v>70595.28</v>
      </c>
      <c r="Z8" s="518">
        <f>'Premissas e Cálculos'!Y81</f>
        <v>70595.28</v>
      </c>
      <c r="AA8" s="518">
        <f>'Premissas e Cálculos'!Z81</f>
        <v>70595.28</v>
      </c>
      <c r="AB8" s="518">
        <f>'Premissas e Cálculos'!AA81</f>
        <v>70595.28</v>
      </c>
      <c r="AC8" s="518">
        <f>'Premissas e Cálculos'!AB81</f>
        <v>70595.28</v>
      </c>
      <c r="AD8" s="518">
        <f>'Premissas e Cálculos'!AC81</f>
        <v>70595.28</v>
      </c>
      <c r="AE8" s="518">
        <f>'Premissas e Cálculos'!AD81</f>
        <v>70595.28</v>
      </c>
      <c r="AF8" s="518">
        <f>'Premissas e Cálculos'!AE81</f>
        <v>70595.28</v>
      </c>
      <c r="AG8" s="518">
        <f>'Premissas e Cálculos'!AF81</f>
        <v>70595.28</v>
      </c>
      <c r="AH8" s="518">
        <f>'Premissas e Cálculos'!AG81</f>
        <v>70595.28</v>
      </c>
      <c r="AI8" s="518">
        <f>'Premissas e Cálculos'!AH81</f>
        <v>70595.28</v>
      </c>
      <c r="AJ8" s="518">
        <f>'Premissas e Cálculos'!AI81</f>
        <v>70595.28</v>
      </c>
      <c r="AK8" s="518"/>
    </row>
    <row r="9" spans="1:50" ht="15" customHeight="1" outlineLevel="1">
      <c r="B9" s="37" t="s">
        <v>344</v>
      </c>
      <c r="C9" s="129" t="s">
        <v>21</v>
      </c>
      <c r="D9" s="515">
        <f>NPV('Premissas e Cálculos'!$D$35,G9:AK9)+F9</f>
        <v>11889.918696023209</v>
      </c>
      <c r="E9" s="515">
        <f t="shared" si="0"/>
        <v>28425.461999999985</v>
      </c>
      <c r="F9" s="518">
        <f>'Premissas e Cálculos'!E88</f>
        <v>0</v>
      </c>
      <c r="G9" s="518">
        <f>'Premissas e Cálculos'!F88</f>
        <v>0</v>
      </c>
      <c r="H9" s="518">
        <f>'Premissas e Cálculos'!G88</f>
        <v>0</v>
      </c>
      <c r="I9" s="518">
        <f>'Premissas e Cálculos'!H88</f>
        <v>413.71199999999999</v>
      </c>
      <c r="J9" s="518">
        <f>'Premissas e Cálculos'!I88</f>
        <v>827.42399999999998</v>
      </c>
      <c r="K9" s="518">
        <f>'Premissas e Cálculos'!J88</f>
        <v>827.42399999999998</v>
      </c>
      <c r="L9" s="518">
        <f>'Premissas e Cálculos'!K88</f>
        <v>1085.9940000000001</v>
      </c>
      <c r="M9" s="518">
        <f>'Premissas e Cálculos'!L88</f>
        <v>1344.5640000000001</v>
      </c>
      <c r="N9" s="518">
        <f>'Premissas e Cálculos'!M88</f>
        <v>1430.7540000000001</v>
      </c>
      <c r="O9" s="518">
        <f>'Premissas e Cálculos'!N88</f>
        <v>1499.7060000000001</v>
      </c>
      <c r="P9" s="518">
        <f>'Premissas e Cálculos'!O88</f>
        <v>1499.7060000000001</v>
      </c>
      <c r="Q9" s="518">
        <f>'Premissas e Cálculos'!P88</f>
        <v>1499.7060000000001</v>
      </c>
      <c r="R9" s="518">
        <f>'Premissas e Cálculos'!Q88</f>
        <v>1499.7060000000001</v>
      </c>
      <c r="S9" s="518">
        <f>'Premissas e Cálculos'!R88</f>
        <v>1499.7060000000001</v>
      </c>
      <c r="T9" s="518">
        <f>'Premissas e Cálculos'!S88</f>
        <v>1499.7060000000001</v>
      </c>
      <c r="U9" s="518">
        <f>'Premissas e Cálculos'!T88</f>
        <v>1499.7060000000001</v>
      </c>
      <c r="V9" s="518">
        <f>'Premissas e Cálculos'!U88</f>
        <v>1499.7060000000001</v>
      </c>
      <c r="W9" s="518">
        <f>'Premissas e Cálculos'!V88</f>
        <v>1499.7060000000001</v>
      </c>
      <c r="X9" s="518">
        <f>'Premissas e Cálculos'!W88</f>
        <v>1499.7060000000001</v>
      </c>
      <c r="Y9" s="518">
        <f>'Premissas e Cálculos'!X88</f>
        <v>1499.7060000000001</v>
      </c>
      <c r="Z9" s="518">
        <f>'Premissas e Cálculos'!Y88</f>
        <v>1499.7060000000001</v>
      </c>
      <c r="AA9" s="518">
        <f>'Premissas e Cálculos'!Z88</f>
        <v>1499.7060000000001</v>
      </c>
      <c r="AB9" s="518">
        <f>'Premissas e Cálculos'!AA88</f>
        <v>1499.7060000000001</v>
      </c>
      <c r="AC9" s="518">
        <f>'Premissas e Cálculos'!AB88</f>
        <v>1499.7060000000001</v>
      </c>
      <c r="AD9" s="518">
        <f>'Premissas e Cálculos'!AC88</f>
        <v>1499.7060000000001</v>
      </c>
      <c r="AE9" s="518">
        <f>'Premissas e Cálculos'!AD88</f>
        <v>1499.7060000000001</v>
      </c>
      <c r="AF9" s="518">
        <f>'Premissas e Cálculos'!AE88</f>
        <v>1499.7060000000001</v>
      </c>
      <c r="AG9" s="518">
        <f>'Premissas e Cálculos'!AF88</f>
        <v>1499.7060000000001</v>
      </c>
      <c r="AH9" s="518">
        <f>'Premissas e Cálculos'!AG88</f>
        <v>1499.7060000000001</v>
      </c>
      <c r="AI9" s="518">
        <f>'Premissas e Cálculos'!AH88</f>
        <v>1499.7060000000001</v>
      </c>
      <c r="AJ9" s="518">
        <f>'Premissas e Cálculos'!AI88</f>
        <v>1499.7060000000001</v>
      </c>
      <c r="AK9" s="518"/>
    </row>
    <row r="10" spans="1:50" s="19" customFormat="1" ht="15" customHeight="1" outlineLevel="1">
      <c r="B10" s="19" t="s">
        <v>22</v>
      </c>
      <c r="C10" s="514" t="s">
        <v>21</v>
      </c>
      <c r="D10" s="519"/>
      <c r="E10" s="516">
        <f t="shared" si="0"/>
        <v>-46989.173703</v>
      </c>
      <c r="F10" s="517">
        <f>F7*-'Premissas e Cálculos'!$D$33</f>
        <v>0</v>
      </c>
      <c r="G10" s="517">
        <f>G7*-'Premissas e Cálculos'!$D$33</f>
        <v>0</v>
      </c>
      <c r="H10" s="517">
        <f>H7*-'Premissas e Cálculos'!$D$33</f>
        <v>0</v>
      </c>
      <c r="I10" s="517">
        <f>I7*-'Premissas e Cálculos'!$D$33</f>
        <v>-372.97933799999993</v>
      </c>
      <c r="J10" s="517">
        <f>J7*-'Premissas e Cálculos'!$D$33</f>
        <v>-674.38290599999993</v>
      </c>
      <c r="K10" s="517">
        <f>K7*-'Premissas e Cálculos'!$D$33</f>
        <v>-674.38290599999993</v>
      </c>
      <c r="L10" s="517">
        <f>L7*-'Premissas e Cálculos'!$D$33</f>
        <v>-1256.4268709999999</v>
      </c>
      <c r="M10" s="517">
        <f>M7*-'Premissas e Cálculos'!$D$33</f>
        <v>-2053.1981459999997</v>
      </c>
      <c r="N10" s="517">
        <f>N7*-'Premissas e Cálculos'!$D$33</f>
        <v>-2485.7987009999997</v>
      </c>
      <c r="O10" s="517">
        <f>O7*-'Premissas e Cálculos'!$D$33</f>
        <v>-2631.466989</v>
      </c>
      <c r="P10" s="517">
        <f>P7*-'Premissas e Cálculos'!$D$33</f>
        <v>-2631.466989</v>
      </c>
      <c r="Q10" s="517">
        <f>Q7*-'Premissas e Cálculos'!$D$33</f>
        <v>-2631.466989</v>
      </c>
      <c r="R10" s="517">
        <f>R7*-'Premissas e Cálculos'!$D$33</f>
        <v>-2631.466989</v>
      </c>
      <c r="S10" s="517">
        <f>S7*-'Premissas e Cálculos'!$D$33</f>
        <v>-2631.466989</v>
      </c>
      <c r="T10" s="517">
        <f>T7*-'Premissas e Cálculos'!$D$33</f>
        <v>-2631.466989</v>
      </c>
      <c r="U10" s="517">
        <f>U7*-'Premissas e Cálculos'!$D$33</f>
        <v>-2631.466989</v>
      </c>
      <c r="V10" s="517">
        <f>V7*-'Premissas e Cálculos'!$D$33</f>
        <v>-2631.466989</v>
      </c>
      <c r="W10" s="517">
        <f>W7*-'Premissas e Cálculos'!$D$33</f>
        <v>-2631.466989</v>
      </c>
      <c r="X10" s="517">
        <f>X7*-'Premissas e Cálculos'!$D$33</f>
        <v>-2631.466989</v>
      </c>
      <c r="Y10" s="517">
        <f>Y7*-'Premissas e Cálculos'!$D$33</f>
        <v>-2631.466989</v>
      </c>
      <c r="Z10" s="517">
        <f>Z7*-'Premissas e Cálculos'!$D$33</f>
        <v>-2631.466989</v>
      </c>
      <c r="AA10" s="517">
        <f>AA7*-'Premissas e Cálculos'!$D$33</f>
        <v>-2631.466989</v>
      </c>
      <c r="AB10" s="517">
        <f>AB7*-'Premissas e Cálculos'!$D$33</f>
        <v>-2631.466989</v>
      </c>
      <c r="AC10" s="517">
        <f>AC7*-'Premissas e Cálculos'!$D$33</f>
        <v>-2631.466989</v>
      </c>
      <c r="AD10" s="517">
        <f>AD7*-'Premissas e Cálculos'!$D$33</f>
        <v>-2631.466989</v>
      </c>
      <c r="AE10" s="517">
        <f>AE7*-'Premissas e Cálculos'!$D$33</f>
        <v>-2631.466989</v>
      </c>
      <c r="AF10" s="517">
        <f>AF7*-'Premissas e Cálculos'!$D$33</f>
        <v>-2631.466989</v>
      </c>
      <c r="AG10" s="517">
        <f>AG7*-'Premissas e Cálculos'!$D$33</f>
        <v>-2631.466989</v>
      </c>
      <c r="AH10" s="517">
        <f>AH7*-'Premissas e Cálculos'!$D$33</f>
        <v>-2631.466989</v>
      </c>
      <c r="AI10" s="517">
        <f>AI7*-'Premissas e Cálculos'!$D$33</f>
        <v>-2631.466989</v>
      </c>
      <c r="AJ10" s="517">
        <f>AJ7*-'Premissas e Cálculos'!$D$33</f>
        <v>-2631.466989</v>
      </c>
    </row>
    <row r="11" spans="1:50" s="19" customFormat="1" ht="15" customHeight="1" outlineLevel="1">
      <c r="B11" s="19" t="s">
        <v>23</v>
      </c>
      <c r="C11" s="514" t="s">
        <v>21</v>
      </c>
      <c r="D11" s="515">
        <f>NPV('Premissas e Cálculos'!$D$35,G11:AK11)+F11</f>
        <v>498593.1479064438</v>
      </c>
      <c r="E11" s="516">
        <f t="shared" si="0"/>
        <v>1240385.4482970003</v>
      </c>
      <c r="F11" s="517">
        <f t="shared" ref="F11:AC11" si="3">F7+F10</f>
        <v>0</v>
      </c>
      <c r="G11" s="517">
        <f t="shared" si="3"/>
        <v>0</v>
      </c>
      <c r="H11" s="517">
        <f t="shared" si="3"/>
        <v>0</v>
      </c>
      <c r="I11" s="517">
        <f t="shared" si="3"/>
        <v>9845.632662</v>
      </c>
      <c r="J11" s="517">
        <f t="shared" si="3"/>
        <v>17801.861094</v>
      </c>
      <c r="K11" s="517">
        <f t="shared" si="3"/>
        <v>17801.861094</v>
      </c>
      <c r="L11" s="517">
        <f t="shared" si="3"/>
        <v>33166.227128999999</v>
      </c>
      <c r="M11" s="517">
        <f t="shared" si="3"/>
        <v>54198.805853999991</v>
      </c>
      <c r="N11" s="517">
        <f t="shared" si="3"/>
        <v>65618.275299000001</v>
      </c>
      <c r="O11" s="517">
        <f t="shared" si="3"/>
        <v>69463.519011000011</v>
      </c>
      <c r="P11" s="517">
        <f t="shared" si="3"/>
        <v>69463.519011000011</v>
      </c>
      <c r="Q11" s="517">
        <f t="shared" si="3"/>
        <v>69463.519011000011</v>
      </c>
      <c r="R11" s="517">
        <f t="shared" si="3"/>
        <v>69463.519011000011</v>
      </c>
      <c r="S11" s="517">
        <f t="shared" si="3"/>
        <v>69463.519011000011</v>
      </c>
      <c r="T11" s="517">
        <f t="shared" si="3"/>
        <v>69463.519011000011</v>
      </c>
      <c r="U11" s="517">
        <f t="shared" si="3"/>
        <v>69463.519011000011</v>
      </c>
      <c r="V11" s="517">
        <f t="shared" si="3"/>
        <v>69463.519011000011</v>
      </c>
      <c r="W11" s="517">
        <f t="shared" si="3"/>
        <v>69463.519011000011</v>
      </c>
      <c r="X11" s="517">
        <f t="shared" si="3"/>
        <v>69463.519011000011</v>
      </c>
      <c r="Y11" s="517">
        <f t="shared" si="3"/>
        <v>69463.519011000011</v>
      </c>
      <c r="Z11" s="517">
        <f t="shared" si="3"/>
        <v>69463.519011000011</v>
      </c>
      <c r="AA11" s="517">
        <f t="shared" si="3"/>
        <v>69463.519011000011</v>
      </c>
      <c r="AB11" s="517">
        <f t="shared" si="3"/>
        <v>69463.519011000011</v>
      </c>
      <c r="AC11" s="517">
        <f t="shared" si="3"/>
        <v>69463.519011000011</v>
      </c>
      <c r="AD11" s="517">
        <f t="shared" ref="AD11:AJ11" si="4">AD7+AD10</f>
        <v>69463.519011000011</v>
      </c>
      <c r="AE11" s="517">
        <f t="shared" si="4"/>
        <v>69463.519011000011</v>
      </c>
      <c r="AF11" s="517">
        <f t="shared" si="4"/>
        <v>69463.519011000011</v>
      </c>
      <c r="AG11" s="517">
        <f t="shared" si="4"/>
        <v>69463.519011000011</v>
      </c>
      <c r="AH11" s="517">
        <f t="shared" si="4"/>
        <v>69463.519011000011</v>
      </c>
      <c r="AI11" s="517">
        <f t="shared" si="4"/>
        <v>69463.519011000011</v>
      </c>
      <c r="AJ11" s="517">
        <f t="shared" si="4"/>
        <v>69463.519011000011</v>
      </c>
    </row>
    <row r="12" spans="1:50" s="19" customFormat="1" ht="15" customHeight="1" outlineLevel="1">
      <c r="A12" s="520"/>
      <c r="B12" s="19" t="s">
        <v>24</v>
      </c>
      <c r="C12" s="514" t="s">
        <v>21</v>
      </c>
      <c r="D12" s="515">
        <f>NPV('Premissas e Cálculos'!$D$35,G12:AK12)+F12</f>
        <v>-150755.56171337789</v>
      </c>
      <c r="E12" s="516">
        <f t="shared" si="0"/>
        <v>-371013.87541189749</v>
      </c>
      <c r="F12" s="517">
        <f>-'Premissas e Cálculos'!E122</f>
        <v>0</v>
      </c>
      <c r="G12" s="517">
        <f>-'Premissas e Cálculos'!F122</f>
        <v>0</v>
      </c>
      <c r="H12" s="517">
        <f>-'Premissas e Cálculos'!G122</f>
        <v>0</v>
      </c>
      <c r="I12" s="517">
        <f>-'Premissas e Cálculos'!H122</f>
        <v>-4530.8723006951568</v>
      </c>
      <c r="J12" s="517">
        <f>-'Premissas e Cálculos'!I122</f>
        <v>-6381.3990846951583</v>
      </c>
      <c r="K12" s="517">
        <f>-'Premissas e Cálculos'!J122</f>
        <v>-6381.3990846951583</v>
      </c>
      <c r="L12" s="517">
        <f>-'Premissas e Cálculos'!K122</f>
        <v>-10718.439751544161</v>
      </c>
      <c r="M12" s="517">
        <f>-'Premissas e Cálculos'!L122</f>
        <v>-16214.811794393165</v>
      </c>
      <c r="N12" s="517">
        <f>-'Premissas e Cálculos'!M122</f>
        <v>-19651.985037242164</v>
      </c>
      <c r="O12" s="517">
        <f>-'Premissas e Cálculos'!N122</f>
        <v>-20475.664557242166</v>
      </c>
      <c r="P12" s="517">
        <f>-'Premissas e Cálculos'!O122</f>
        <v>-20475.664557242166</v>
      </c>
      <c r="Q12" s="517">
        <f>-'Premissas e Cálculos'!P122</f>
        <v>-20475.664557242166</v>
      </c>
      <c r="R12" s="517">
        <f>-'Premissas e Cálculos'!Q122</f>
        <v>-20475.664557242166</v>
      </c>
      <c r="S12" s="517">
        <f>-'Premissas e Cálculos'!R122</f>
        <v>-20475.664557242166</v>
      </c>
      <c r="T12" s="517">
        <f>-'Premissas e Cálculos'!S122</f>
        <v>-20475.664557242166</v>
      </c>
      <c r="U12" s="517">
        <f>-'Premissas e Cálculos'!T122</f>
        <v>-20475.664557242166</v>
      </c>
      <c r="V12" s="517">
        <f>-'Premissas e Cálculos'!U122</f>
        <v>-20475.664557242166</v>
      </c>
      <c r="W12" s="517">
        <f>-'Premissas e Cálculos'!V122</f>
        <v>-20475.664557242166</v>
      </c>
      <c r="X12" s="517">
        <f>-'Premissas e Cálculos'!W122</f>
        <v>-20475.664557242166</v>
      </c>
      <c r="Y12" s="517">
        <f>-'Premissas e Cálculos'!X122</f>
        <v>-20475.664557242166</v>
      </c>
      <c r="Z12" s="517">
        <f>-'Premissas e Cálculos'!Y122</f>
        <v>-20475.664557242166</v>
      </c>
      <c r="AA12" s="517">
        <f>-'Premissas e Cálculos'!Z122</f>
        <v>-20475.664557242166</v>
      </c>
      <c r="AB12" s="517">
        <f>-'Premissas e Cálculos'!AA122</f>
        <v>-20475.664557242166</v>
      </c>
      <c r="AC12" s="517">
        <f>-'Premissas e Cálculos'!AB122</f>
        <v>-20475.664557242166</v>
      </c>
      <c r="AD12" s="517">
        <f>-'Premissas e Cálculos'!AC122</f>
        <v>-20475.664557242166</v>
      </c>
      <c r="AE12" s="517">
        <f>-'Premissas e Cálculos'!AD122</f>
        <v>-20475.664557242166</v>
      </c>
      <c r="AF12" s="517">
        <f>-'Premissas e Cálculos'!AE122</f>
        <v>-20475.664557242166</v>
      </c>
      <c r="AG12" s="517">
        <f>-'Premissas e Cálculos'!AF122</f>
        <v>-20475.664557242166</v>
      </c>
      <c r="AH12" s="517">
        <f>-'Premissas e Cálculos'!AG122</f>
        <v>-20475.664557242166</v>
      </c>
      <c r="AI12" s="517">
        <f>-'Premissas e Cálculos'!AH122</f>
        <v>-20475.664557242166</v>
      </c>
      <c r="AJ12" s="517">
        <f>-'Premissas e Cálculos'!AI122</f>
        <v>-20475.664557242166</v>
      </c>
      <c r="AK12" s="517"/>
    </row>
    <row r="13" spans="1:50" s="19" customFormat="1" ht="15" customHeight="1" outlineLevel="1">
      <c r="B13" s="19" t="s">
        <v>25</v>
      </c>
      <c r="C13" s="514" t="s">
        <v>21</v>
      </c>
      <c r="D13" s="515">
        <f>NPV('Premissas e Cálculos'!$D$35,G13:AK13)+F13</f>
        <v>347837.58619306597</v>
      </c>
      <c r="E13" s="516">
        <f t="shared" si="0"/>
        <v>869371.57288510306</v>
      </c>
      <c r="F13" s="516">
        <f>F12+F11</f>
        <v>0</v>
      </c>
      <c r="G13" s="516">
        <f t="shared" ref="G13:AC13" si="5">G12+G11</f>
        <v>0</v>
      </c>
      <c r="H13" s="516">
        <f t="shared" si="5"/>
        <v>0</v>
      </c>
      <c r="I13" s="516">
        <f t="shared" si="5"/>
        <v>5314.7603613048432</v>
      </c>
      <c r="J13" s="516">
        <f t="shared" si="5"/>
        <v>11420.462009304842</v>
      </c>
      <c r="K13" s="516">
        <f t="shared" si="5"/>
        <v>11420.462009304842</v>
      </c>
      <c r="L13" s="516">
        <f t="shared" si="5"/>
        <v>22447.787377455839</v>
      </c>
      <c r="M13" s="516">
        <f t="shared" si="5"/>
        <v>37983.994059606826</v>
      </c>
      <c r="N13" s="516">
        <f t="shared" si="5"/>
        <v>45966.290261757837</v>
      </c>
      <c r="O13" s="516">
        <f t="shared" si="5"/>
        <v>48987.854453757842</v>
      </c>
      <c r="P13" s="516">
        <f t="shared" si="5"/>
        <v>48987.854453757842</v>
      </c>
      <c r="Q13" s="516">
        <f t="shared" si="5"/>
        <v>48987.854453757842</v>
      </c>
      <c r="R13" s="516">
        <f t="shared" si="5"/>
        <v>48987.854453757842</v>
      </c>
      <c r="S13" s="516">
        <f t="shared" si="5"/>
        <v>48987.854453757842</v>
      </c>
      <c r="T13" s="516">
        <f t="shared" si="5"/>
        <v>48987.854453757842</v>
      </c>
      <c r="U13" s="516">
        <f t="shared" si="5"/>
        <v>48987.854453757842</v>
      </c>
      <c r="V13" s="516">
        <f t="shared" si="5"/>
        <v>48987.854453757842</v>
      </c>
      <c r="W13" s="516">
        <f t="shared" si="5"/>
        <v>48987.854453757842</v>
      </c>
      <c r="X13" s="516">
        <f t="shared" si="5"/>
        <v>48987.854453757842</v>
      </c>
      <c r="Y13" s="516">
        <f t="shared" si="5"/>
        <v>48987.854453757842</v>
      </c>
      <c r="Z13" s="516">
        <f t="shared" si="5"/>
        <v>48987.854453757842</v>
      </c>
      <c r="AA13" s="516">
        <f t="shared" si="5"/>
        <v>48987.854453757842</v>
      </c>
      <c r="AB13" s="516">
        <f t="shared" si="5"/>
        <v>48987.854453757842</v>
      </c>
      <c r="AC13" s="516">
        <f t="shared" si="5"/>
        <v>48987.854453757842</v>
      </c>
      <c r="AD13" s="516">
        <f t="shared" ref="AD13:AJ13" si="6">AD12+AD11</f>
        <v>48987.854453757842</v>
      </c>
      <c r="AE13" s="516">
        <f t="shared" si="6"/>
        <v>48987.854453757842</v>
      </c>
      <c r="AF13" s="516">
        <f t="shared" si="6"/>
        <v>48987.854453757842</v>
      </c>
      <c r="AG13" s="516">
        <f t="shared" si="6"/>
        <v>48987.854453757842</v>
      </c>
      <c r="AH13" s="516">
        <f t="shared" si="6"/>
        <v>48987.854453757842</v>
      </c>
      <c r="AI13" s="516">
        <f t="shared" si="6"/>
        <v>48987.854453757842</v>
      </c>
      <c r="AJ13" s="516">
        <f t="shared" si="6"/>
        <v>48987.854453757842</v>
      </c>
    </row>
    <row r="14" spans="1:50" s="129" customFormat="1" ht="15" customHeight="1" outlineLevel="1">
      <c r="B14" s="521" t="s">
        <v>451</v>
      </c>
      <c r="C14" s="129" t="s">
        <v>3</v>
      </c>
      <c r="D14" s="522"/>
      <c r="E14" s="523">
        <f t="shared" ref="E14" si="7">IFERROR(E13/E11,0)</f>
        <v>0.70088823927974608</v>
      </c>
      <c r="F14" s="523">
        <f>IFERROR(F13/F11,0)</f>
        <v>0</v>
      </c>
      <c r="G14" s="523">
        <f t="shared" ref="G14:AC14" si="8">IFERROR(G13/G11,0)</f>
        <v>0</v>
      </c>
      <c r="H14" s="523">
        <f t="shared" si="8"/>
        <v>0</v>
      </c>
      <c r="I14" s="523">
        <f t="shared" si="8"/>
        <v>0.53980892277421466</v>
      </c>
      <c r="J14" s="523">
        <f t="shared" si="8"/>
        <v>0.64153191337696891</v>
      </c>
      <c r="K14" s="523">
        <f t="shared" si="8"/>
        <v>0.64153191337696891</v>
      </c>
      <c r="L14" s="523">
        <f t="shared" si="8"/>
        <v>0.67682667944548525</v>
      </c>
      <c r="M14" s="523">
        <f t="shared" si="8"/>
        <v>0.70082713929025664</v>
      </c>
      <c r="N14" s="523">
        <f t="shared" si="8"/>
        <v>0.70051049120546371</v>
      </c>
      <c r="O14" s="523">
        <f t="shared" si="8"/>
        <v>0.70523139557614822</v>
      </c>
      <c r="P14" s="523">
        <f t="shared" si="8"/>
        <v>0.70523139557614822</v>
      </c>
      <c r="Q14" s="523">
        <f t="shared" si="8"/>
        <v>0.70523139557614822</v>
      </c>
      <c r="R14" s="523">
        <f t="shared" si="8"/>
        <v>0.70523139557614822</v>
      </c>
      <c r="S14" s="523">
        <f t="shared" si="8"/>
        <v>0.70523139557614822</v>
      </c>
      <c r="T14" s="523">
        <f t="shared" si="8"/>
        <v>0.70523139557614822</v>
      </c>
      <c r="U14" s="523">
        <f t="shared" si="8"/>
        <v>0.70523139557614822</v>
      </c>
      <c r="V14" s="523">
        <f t="shared" si="8"/>
        <v>0.70523139557614822</v>
      </c>
      <c r="W14" s="523">
        <f t="shared" si="8"/>
        <v>0.70523139557614822</v>
      </c>
      <c r="X14" s="523">
        <f t="shared" si="8"/>
        <v>0.70523139557614822</v>
      </c>
      <c r="Y14" s="523">
        <f t="shared" si="8"/>
        <v>0.70523139557614822</v>
      </c>
      <c r="Z14" s="523">
        <f t="shared" si="8"/>
        <v>0.70523139557614822</v>
      </c>
      <c r="AA14" s="523">
        <f t="shared" si="8"/>
        <v>0.70523139557614822</v>
      </c>
      <c r="AB14" s="523">
        <f t="shared" si="8"/>
        <v>0.70523139557614822</v>
      </c>
      <c r="AC14" s="523">
        <f t="shared" si="8"/>
        <v>0.70523139557614822</v>
      </c>
      <c r="AD14" s="523">
        <f t="shared" ref="AD14:AJ14" si="9">IFERROR(AD13/AD11,0)</f>
        <v>0.70523139557614822</v>
      </c>
      <c r="AE14" s="523">
        <f t="shared" si="9"/>
        <v>0.70523139557614822</v>
      </c>
      <c r="AF14" s="523">
        <f t="shared" si="9"/>
        <v>0.70523139557614822</v>
      </c>
      <c r="AG14" s="523">
        <f t="shared" si="9"/>
        <v>0.70523139557614822</v>
      </c>
      <c r="AH14" s="523">
        <f t="shared" si="9"/>
        <v>0.70523139557614822</v>
      </c>
      <c r="AI14" s="523">
        <f t="shared" si="9"/>
        <v>0.70523139557614822</v>
      </c>
      <c r="AJ14" s="523">
        <f t="shared" si="9"/>
        <v>0.70523139557614822</v>
      </c>
      <c r="AK14" s="523"/>
    </row>
    <row r="15" spans="1:50" ht="15" customHeight="1" outlineLevel="1">
      <c r="A15" s="524"/>
      <c r="B15" s="11" t="s">
        <v>26</v>
      </c>
      <c r="C15" s="129" t="s">
        <v>21</v>
      </c>
      <c r="E15" s="515">
        <f t="shared" si="0"/>
        <v>-219559.71702711433</v>
      </c>
      <c r="F15" s="515">
        <f>-'Premissas e Cálculos'!E232</f>
        <v>0</v>
      </c>
      <c r="G15" s="515">
        <f>-'Premissas e Cálculos'!F232</f>
        <v>0</v>
      </c>
      <c r="H15" s="515">
        <f>-'Premissas e Cálculos'!G232</f>
        <v>-1102.0645425671842</v>
      </c>
      <c r="I15" s="515">
        <f>-'Premissas e Cálculos'!H232</f>
        <v>-2231.680698698548</v>
      </c>
      <c r="J15" s="515">
        <f>-'Premissas e Cálculos'!I232</f>
        <v>-2372.7048364561379</v>
      </c>
      <c r="K15" s="515">
        <f>-'Premissas e Cálculos'!J232</f>
        <v>-4560.9887232237306</v>
      </c>
      <c r="L15" s="515">
        <f>-'Premissas e Cálculos'!K232</f>
        <v>-7443.7238855287796</v>
      </c>
      <c r="M15" s="515">
        <f>-'Premissas e Cálculos'!L232</f>
        <v>-9083.9625630274695</v>
      </c>
      <c r="N15" s="515">
        <f>-'Premissas e Cálculos'!M232</f>
        <v>-10100.442405446918</v>
      </c>
      <c r="O15" s="515">
        <f>-'Premissas e Cálculos'!N232</f>
        <v>-10451.349483428134</v>
      </c>
      <c r="P15" s="515">
        <f>-'Premissas e Cálculos'!O232</f>
        <v>-10738.29321682981</v>
      </c>
      <c r="Q15" s="515">
        <f>-'Premissas e Cálculos'!P232</f>
        <v>-10978.696456973987</v>
      </c>
      <c r="R15" s="515">
        <f>-'Premissas e Cálculos'!Q232</f>
        <v>-11219.099697118163</v>
      </c>
      <c r="S15" s="515">
        <f>-'Premissas e Cálculos'!R232</f>
        <v>-11459.502937262339</v>
      </c>
      <c r="T15" s="515">
        <f>-'Premissas e Cálculos'!S232</f>
        <v>-11699.906177406516</v>
      </c>
      <c r="U15" s="515">
        <f>-'Premissas e Cálculos'!T232</f>
        <v>-11940.309417550692</v>
      </c>
      <c r="V15" s="515">
        <f>-'Premissas e Cálculos'!U232</f>
        <v>-12180.712657694869</v>
      </c>
      <c r="W15" s="515">
        <f>-'Premissas e Cálculos'!V232</f>
        <v>-12421.115897839045</v>
      </c>
      <c r="X15" s="515">
        <f>-'Premissas e Cálculos'!W232</f>
        <v>-12661.519137983221</v>
      </c>
      <c r="Y15" s="515">
        <f>-'Premissas e Cálculos'!X232</f>
        <v>-12901.922378127398</v>
      </c>
      <c r="Z15" s="515">
        <f>-'Premissas e Cálculos'!Y232</f>
        <v>-13142.325618271574</v>
      </c>
      <c r="AA15" s="515">
        <f>-'Premissas e Cálculos'!Z232</f>
        <v>-13382.72885841575</v>
      </c>
      <c r="AB15" s="515">
        <f>-'Premissas e Cálculos'!AA232</f>
        <v>-13623.132098559927</v>
      </c>
      <c r="AC15" s="515">
        <f>-'Premissas e Cálculos'!AB232</f>
        <v>-13863.535338704103</v>
      </c>
      <c r="AD15" s="515">
        <f>-'Premissas e Cálculos'!AC232</f>
        <v>-14103.93857884828</v>
      </c>
      <c r="AE15" s="515">
        <f>-'Premissas e Cálculos'!AD232</f>
        <v>-14344.341818992456</v>
      </c>
      <c r="AF15" s="515">
        <f>-'Premissas e Cálculos'!AE232</f>
        <v>-14584.745059136632</v>
      </c>
      <c r="AG15" s="515">
        <f>-'Premissas e Cálculos'!AF232</f>
        <v>-13723.083756713626</v>
      </c>
      <c r="AH15" s="515">
        <f>-'Premissas e Cálculos'!AG232</f>
        <v>-12833.870840726438</v>
      </c>
      <c r="AI15" s="515">
        <f>-'Premissas e Cálculos'!AH232</f>
        <v>-12933.249943113024</v>
      </c>
      <c r="AJ15" s="515">
        <f>-'Premissas e Cálculos'!AI232</f>
        <v>-10985.369296489609</v>
      </c>
    </row>
    <row r="16" spans="1:50" ht="15" customHeight="1" outlineLevel="1">
      <c r="B16" s="11" t="s">
        <v>27</v>
      </c>
      <c r="C16" s="129" t="s">
        <v>21</v>
      </c>
      <c r="E16" s="515">
        <f t="shared" si="0"/>
        <v>649811.85585798835</v>
      </c>
      <c r="F16" s="515">
        <f t="shared" ref="F16:AC16" si="10">F13+F15</f>
        <v>0</v>
      </c>
      <c r="G16" s="515">
        <f t="shared" si="10"/>
        <v>0</v>
      </c>
      <c r="H16" s="515">
        <f t="shared" si="10"/>
        <v>-1102.0645425671842</v>
      </c>
      <c r="I16" s="515">
        <f t="shared" si="10"/>
        <v>3083.0796626062952</v>
      </c>
      <c r="J16" s="515">
        <f t="shared" si="10"/>
        <v>9047.7571728487037</v>
      </c>
      <c r="K16" s="515">
        <f t="shared" si="10"/>
        <v>6859.4732860811109</v>
      </c>
      <c r="L16" s="515">
        <f t="shared" si="10"/>
        <v>15004.06349192706</v>
      </c>
      <c r="M16" s="515">
        <f t="shared" si="10"/>
        <v>28900.031496579359</v>
      </c>
      <c r="N16" s="515">
        <f t="shared" si="10"/>
        <v>35865.847856310917</v>
      </c>
      <c r="O16" s="515">
        <f t="shared" si="10"/>
        <v>38536.504970329712</v>
      </c>
      <c r="P16" s="515">
        <f t="shared" si="10"/>
        <v>38249.561236928028</v>
      </c>
      <c r="Q16" s="515">
        <f t="shared" si="10"/>
        <v>38009.157996783855</v>
      </c>
      <c r="R16" s="515">
        <f t="shared" si="10"/>
        <v>37768.754756639682</v>
      </c>
      <c r="S16" s="515">
        <f t="shared" si="10"/>
        <v>37528.351516495502</v>
      </c>
      <c r="T16" s="515">
        <f t="shared" si="10"/>
        <v>37287.948276351322</v>
      </c>
      <c r="U16" s="515">
        <f t="shared" si="10"/>
        <v>37047.54503620715</v>
      </c>
      <c r="V16" s="515">
        <f t="shared" si="10"/>
        <v>36807.141796062977</v>
      </c>
      <c r="W16" s="515">
        <f t="shared" si="10"/>
        <v>36566.738555918797</v>
      </c>
      <c r="X16" s="515">
        <f t="shared" si="10"/>
        <v>36326.335315774617</v>
      </c>
      <c r="Y16" s="515">
        <f t="shared" si="10"/>
        <v>36085.932075630444</v>
      </c>
      <c r="Z16" s="515">
        <f t="shared" si="10"/>
        <v>35845.528835486271</v>
      </c>
      <c r="AA16" s="515">
        <f t="shared" si="10"/>
        <v>35605.125595342091</v>
      </c>
      <c r="AB16" s="515">
        <f t="shared" si="10"/>
        <v>35364.722355197911</v>
      </c>
      <c r="AC16" s="515">
        <f t="shared" si="10"/>
        <v>35124.319115053739</v>
      </c>
      <c r="AD16" s="515">
        <f t="shared" ref="AD16:AJ16" si="11">AD13+AD15</f>
        <v>34883.915874909566</v>
      </c>
      <c r="AE16" s="515">
        <f t="shared" si="11"/>
        <v>34643.512634765386</v>
      </c>
      <c r="AF16" s="515">
        <f t="shared" si="11"/>
        <v>34403.109394621206</v>
      </c>
      <c r="AG16" s="515">
        <f t="shared" si="11"/>
        <v>35264.770697044216</v>
      </c>
      <c r="AH16" s="515">
        <f t="shared" si="11"/>
        <v>36153.983613031407</v>
      </c>
      <c r="AI16" s="515">
        <f t="shared" si="11"/>
        <v>36054.604510644815</v>
      </c>
      <c r="AJ16" s="515">
        <f t="shared" si="11"/>
        <v>38002.485157268231</v>
      </c>
    </row>
    <row r="17" spans="1:38" ht="15" customHeight="1" outlineLevel="1">
      <c r="B17" s="11" t="s">
        <v>28</v>
      </c>
      <c r="C17" s="129" t="s">
        <v>21</v>
      </c>
      <c r="E17" s="515">
        <f t="shared" si="0"/>
        <v>-39651.138357600008</v>
      </c>
      <c r="F17" s="515">
        <f>IF('Premissas e Cálculos'!$C$21="Real",(-F16*'Premissas e Cálculos'!$D$31),(-F7*'Premissas e Cálculos'!$D$32))</f>
        <v>0</v>
      </c>
      <c r="G17" s="515">
        <f>IF('Premissas e Cálculos'!$C$21="Real",(-G16*'Premissas e Cálculos'!$D$31),(-G7*'Premissas e Cálculos'!$D$32))</f>
        <v>0</v>
      </c>
      <c r="H17" s="515">
        <f>IF('Premissas e Cálculos'!$C$21="Real",(-H16*'Premissas e Cálculos'!$D$31),(-H7*'Premissas e Cálculos'!$D$32))</f>
        <v>0</v>
      </c>
      <c r="I17" s="515">
        <f>IF('Premissas e Cálculos'!$C$21="Real",(-I16*'Premissas e Cálculos'!$D$31),(-I7*'Premissas e Cálculos'!$D$32))</f>
        <v>-314.73324959999997</v>
      </c>
      <c r="J17" s="515">
        <f>IF('Premissas e Cálculos'!$C$21="Real",(-J16*'Premissas e Cálculos'!$D$31),(-J7*'Premissas e Cálculos'!$D$32))</f>
        <v>-569.06831520000003</v>
      </c>
      <c r="K17" s="515">
        <f>IF('Premissas e Cálculos'!$C$21="Real",(-K16*'Premissas e Cálculos'!$D$31),(-K7*'Premissas e Cálculos'!$D$32))</f>
        <v>-569.06831520000003</v>
      </c>
      <c r="L17" s="515">
        <f>IF('Premissas e Cálculos'!$C$21="Real",(-L16*'Premissas e Cálculos'!$D$31),(-L7*'Premissas e Cálculos'!$D$32))</f>
        <v>-1060.2177432000001</v>
      </c>
      <c r="M17" s="515">
        <f>IF('Premissas e Cálculos'!$C$21="Real",(-M16*'Premissas e Cálculos'!$D$31),(-M7*'Premissas e Cálculos'!$D$32))</f>
        <v>-1732.5617232</v>
      </c>
      <c r="N17" s="515">
        <f>IF('Premissas e Cálculos'!$C$21="Real",(-N16*'Premissas e Cálculos'!$D$31),(-N7*'Premissas e Cálculos'!$D$32))</f>
        <v>-2097.6054792</v>
      </c>
      <c r="O17" s="515">
        <f>IF('Premissas e Cálculos'!$C$21="Real",(-O16*'Premissas e Cálculos'!$D$31),(-O7*'Premissas e Cálculos'!$D$32))</f>
        <v>-2220.5255688000002</v>
      </c>
      <c r="P17" s="515">
        <f>IF('Premissas e Cálculos'!$C$21="Real",(-P16*'Premissas e Cálculos'!$D$31),(-P7*'Premissas e Cálculos'!$D$32))</f>
        <v>-2220.5255688000002</v>
      </c>
      <c r="Q17" s="515">
        <f>IF('Premissas e Cálculos'!$C$21="Real",(-Q16*'Premissas e Cálculos'!$D$31),(-Q7*'Premissas e Cálculos'!$D$32))</f>
        <v>-2220.5255688000002</v>
      </c>
      <c r="R17" s="515">
        <f>IF('Premissas e Cálculos'!$C$21="Real",(-R16*'Premissas e Cálculos'!$D$31),(-R7*'Premissas e Cálculos'!$D$32))</f>
        <v>-2220.5255688000002</v>
      </c>
      <c r="S17" s="515">
        <f>IF('Premissas e Cálculos'!$C$21="Real",(-S16*'Premissas e Cálculos'!$D$31),(-S7*'Premissas e Cálculos'!$D$32))</f>
        <v>-2220.5255688000002</v>
      </c>
      <c r="T17" s="515">
        <f>IF('Premissas e Cálculos'!$C$21="Real",(-T16*'Premissas e Cálculos'!$D$31),(-T7*'Premissas e Cálculos'!$D$32))</f>
        <v>-2220.5255688000002</v>
      </c>
      <c r="U17" s="515">
        <f>IF('Premissas e Cálculos'!$C$21="Real",(-U16*'Premissas e Cálculos'!$D$31),(-U7*'Premissas e Cálculos'!$D$32))</f>
        <v>-2220.5255688000002</v>
      </c>
      <c r="V17" s="515">
        <f>IF('Premissas e Cálculos'!$C$21="Real",(-V16*'Premissas e Cálculos'!$D$31),(-V7*'Premissas e Cálculos'!$D$32))</f>
        <v>-2220.5255688000002</v>
      </c>
      <c r="W17" s="515">
        <f>IF('Premissas e Cálculos'!$C$21="Real",(-W16*'Premissas e Cálculos'!$D$31),(-W7*'Premissas e Cálculos'!$D$32))</f>
        <v>-2220.5255688000002</v>
      </c>
      <c r="X17" s="515">
        <f>IF('Premissas e Cálculos'!$C$21="Real",(-X16*'Premissas e Cálculos'!$D$31),(-X7*'Premissas e Cálculos'!$D$32))</f>
        <v>-2220.5255688000002</v>
      </c>
      <c r="Y17" s="515">
        <f>IF('Premissas e Cálculos'!$C$21="Real",(-Y16*'Premissas e Cálculos'!$D$31),(-Y7*'Premissas e Cálculos'!$D$32))</f>
        <v>-2220.5255688000002</v>
      </c>
      <c r="Z17" s="515">
        <f>IF('Premissas e Cálculos'!$C$21="Real",(-Z16*'Premissas e Cálculos'!$D$31),(-Z7*'Premissas e Cálculos'!$D$32))</f>
        <v>-2220.5255688000002</v>
      </c>
      <c r="AA17" s="515">
        <f>IF('Premissas e Cálculos'!$C$21="Real",(-AA16*'Premissas e Cálculos'!$D$31),(-AA7*'Premissas e Cálculos'!$D$32))</f>
        <v>-2220.5255688000002</v>
      </c>
      <c r="AB17" s="515">
        <f>IF('Premissas e Cálculos'!$C$21="Real",(-AB16*'Premissas e Cálculos'!$D$31),(-AB7*'Premissas e Cálculos'!$D$32))</f>
        <v>-2220.5255688000002</v>
      </c>
      <c r="AC17" s="515">
        <f>IF('Premissas e Cálculos'!$C$21="Real",(-AC16*'Premissas e Cálculos'!$D$31),(-AC7*'Premissas e Cálculos'!$D$32))</f>
        <v>-2220.5255688000002</v>
      </c>
      <c r="AD17" s="515">
        <f>IF('Premissas e Cálculos'!$C$21="Real",(-AD16*'Premissas e Cálculos'!$D$31),(-AD7*'Premissas e Cálculos'!$D$32))</f>
        <v>-2220.5255688000002</v>
      </c>
      <c r="AE17" s="515">
        <f>IF('Premissas e Cálculos'!$C$21="Real",(-AE16*'Premissas e Cálculos'!$D$31),(-AE7*'Premissas e Cálculos'!$D$32))</f>
        <v>-2220.5255688000002</v>
      </c>
      <c r="AF17" s="515">
        <f>IF('Premissas e Cálculos'!$C$21="Real",(-AF16*'Premissas e Cálculos'!$D$31),(-AF7*'Premissas e Cálculos'!$D$32))</f>
        <v>-2220.5255688000002</v>
      </c>
      <c r="AG17" s="515">
        <f>IF('Premissas e Cálculos'!$C$21="Real",(-AG16*'Premissas e Cálculos'!$D$31),(-AG7*'Premissas e Cálculos'!$D$32))</f>
        <v>-2220.5255688000002</v>
      </c>
      <c r="AH17" s="515">
        <f>IF('Premissas e Cálculos'!$C$21="Real",(-AH16*'Premissas e Cálculos'!$D$31),(-AH7*'Premissas e Cálculos'!$D$32))</f>
        <v>-2220.5255688000002</v>
      </c>
      <c r="AI17" s="515">
        <f>IF('Premissas e Cálculos'!$C$21="Real",(-AI16*'Premissas e Cálculos'!$D$31),(-AI7*'Premissas e Cálculos'!$D$32))</f>
        <v>-2220.5255688000002</v>
      </c>
      <c r="AJ17" s="515">
        <f>IF('Premissas e Cálculos'!$C$21="Real",(-AJ16*'Premissas e Cálculos'!$D$31),(-AJ7*'Premissas e Cálculos'!$D$32))</f>
        <v>-2220.5255688000002</v>
      </c>
    </row>
    <row r="18" spans="1:38" ht="15" customHeight="1" outlineLevel="1">
      <c r="B18" s="11" t="s">
        <v>29</v>
      </c>
      <c r="C18" s="129" t="s">
        <v>21</v>
      </c>
      <c r="D18" s="515">
        <f>NPV('Premissas e Cálculos'!$D$35,G18:AK18)+F18</f>
        <v>243105.65032471018</v>
      </c>
      <c r="E18" s="515">
        <f t="shared" si="0"/>
        <v>610160.71750038839</v>
      </c>
      <c r="F18" s="515">
        <f t="shared" ref="F18:AC18" si="12">F17+F16</f>
        <v>0</v>
      </c>
      <c r="G18" s="515">
        <f t="shared" si="12"/>
        <v>0</v>
      </c>
      <c r="H18" s="515">
        <f t="shared" si="12"/>
        <v>-1102.0645425671842</v>
      </c>
      <c r="I18" s="515">
        <f t="shared" si="12"/>
        <v>2768.3464130062953</v>
      </c>
      <c r="J18" s="515">
        <f t="shared" si="12"/>
        <v>8478.6888576487036</v>
      </c>
      <c r="K18" s="515">
        <f t="shared" si="12"/>
        <v>6290.4049708811108</v>
      </c>
      <c r="L18" s="515">
        <f t="shared" si="12"/>
        <v>13943.845748727059</v>
      </c>
      <c r="M18" s="515">
        <f t="shared" si="12"/>
        <v>27167.469773379358</v>
      </c>
      <c r="N18" s="515">
        <f t="shared" si="12"/>
        <v>33768.242377110917</v>
      </c>
      <c r="O18" s="515">
        <f t="shared" si="12"/>
        <v>36315.979401529708</v>
      </c>
      <c r="P18" s="515">
        <f t="shared" si="12"/>
        <v>36029.035668128025</v>
      </c>
      <c r="Q18" s="515">
        <f t="shared" si="12"/>
        <v>35788.632427983852</v>
      </c>
      <c r="R18" s="515">
        <f t="shared" si="12"/>
        <v>35548.229187839679</v>
      </c>
      <c r="S18" s="515">
        <f>S17+S16</f>
        <v>35307.825947695499</v>
      </c>
      <c r="T18" s="515">
        <f t="shared" si="12"/>
        <v>35067.422707551319</v>
      </c>
      <c r="U18" s="515">
        <f t="shared" si="12"/>
        <v>34827.019467407146</v>
      </c>
      <c r="V18" s="515">
        <f t="shared" si="12"/>
        <v>34586.616227262974</v>
      </c>
      <c r="W18" s="515">
        <f t="shared" si="12"/>
        <v>34346.212987118794</v>
      </c>
      <c r="X18" s="515">
        <f t="shared" si="12"/>
        <v>34105.809746974614</v>
      </c>
      <c r="Y18" s="515">
        <f t="shared" si="12"/>
        <v>33865.406506830441</v>
      </c>
      <c r="Z18" s="515">
        <f t="shared" si="12"/>
        <v>33625.003266686268</v>
      </c>
      <c r="AA18" s="515">
        <f t="shared" si="12"/>
        <v>33384.600026542088</v>
      </c>
      <c r="AB18" s="515">
        <f t="shared" si="12"/>
        <v>33144.196786397908</v>
      </c>
      <c r="AC18" s="515">
        <f t="shared" si="12"/>
        <v>32903.793546253735</v>
      </c>
      <c r="AD18" s="515">
        <f t="shared" ref="AD18:AJ18" si="13">AD17+AD16</f>
        <v>32663.390306109566</v>
      </c>
      <c r="AE18" s="515">
        <f t="shared" si="13"/>
        <v>32422.987065965386</v>
      </c>
      <c r="AF18" s="515">
        <f t="shared" si="13"/>
        <v>32182.583825821206</v>
      </c>
      <c r="AG18" s="515">
        <f t="shared" si="13"/>
        <v>33044.245128244213</v>
      </c>
      <c r="AH18" s="515">
        <f t="shared" si="13"/>
        <v>33933.458044231404</v>
      </c>
      <c r="AI18" s="515">
        <f t="shared" si="13"/>
        <v>33834.078941844811</v>
      </c>
      <c r="AJ18" s="515">
        <f t="shared" si="13"/>
        <v>35781.959588468228</v>
      </c>
    </row>
    <row r="19" spans="1:38" ht="15" customHeight="1">
      <c r="K19" s="515"/>
      <c r="L19" s="525"/>
    </row>
    <row r="20" spans="1:38" ht="15" customHeight="1">
      <c r="A20" s="510"/>
      <c r="B20" s="510" t="s">
        <v>30</v>
      </c>
      <c r="C20" s="511"/>
      <c r="D20" s="512"/>
      <c r="E20" s="526"/>
      <c r="F20" s="513" t="str" cm="1">
        <f t="array" ref="F20:AK20">$F$6:$AK$6</f>
        <v>Ano 0</v>
      </c>
      <c r="G20" s="512" t="str">
        <v>Ano 1</v>
      </c>
      <c r="H20" s="512" t="str">
        <v>Ano 2</v>
      </c>
      <c r="I20" s="512" t="str">
        <v>Ano 3</v>
      </c>
      <c r="J20" s="512" t="str">
        <v>Ano 4</v>
      </c>
      <c r="K20" s="512" t="str">
        <v>Ano 5</v>
      </c>
      <c r="L20" s="512" t="str">
        <v>Ano 6</v>
      </c>
      <c r="M20" s="512" t="str">
        <v>Ano 7</v>
      </c>
      <c r="N20" s="512" t="str">
        <v>Ano 8</v>
      </c>
      <c r="O20" s="512" t="str">
        <v>Ano 9</v>
      </c>
      <c r="P20" s="512" t="str">
        <v>Ano 10</v>
      </c>
      <c r="Q20" s="512" t="str">
        <v>Ano 11</v>
      </c>
      <c r="R20" s="512" t="str">
        <v>Ano 12</v>
      </c>
      <c r="S20" s="512" t="str">
        <v>Ano 13</v>
      </c>
      <c r="T20" s="512" t="str">
        <v>Ano 14</v>
      </c>
      <c r="U20" s="512" t="str">
        <v>Ano 15</v>
      </c>
      <c r="V20" s="512" t="str">
        <v>Ano 16</v>
      </c>
      <c r="W20" s="512" t="str">
        <v>Ano 17</v>
      </c>
      <c r="X20" s="512" t="str">
        <v>Ano 18</v>
      </c>
      <c r="Y20" s="512" t="str">
        <v>Ano 19</v>
      </c>
      <c r="Z20" s="512" t="str">
        <v>Ano 20</v>
      </c>
      <c r="AA20" s="512" t="str">
        <v>Ano 21</v>
      </c>
      <c r="AB20" s="512" t="str">
        <v>Ano 22</v>
      </c>
      <c r="AC20" s="512" t="str">
        <v>Ano 23</v>
      </c>
      <c r="AD20" s="512" t="str">
        <v>Ano 24</v>
      </c>
      <c r="AE20" s="512" t="str">
        <v>Ano 25</v>
      </c>
      <c r="AF20" s="512" t="str">
        <v>Ano 26</v>
      </c>
      <c r="AG20" s="512" t="str">
        <v>Ano 27</v>
      </c>
      <c r="AH20" s="512" t="str">
        <v>Ano 28</v>
      </c>
      <c r="AI20" s="512" t="str">
        <v>Ano 29</v>
      </c>
      <c r="AJ20" s="512" t="str">
        <v>Ano 30</v>
      </c>
      <c r="AK20" s="512" t="str">
        <v>Perpetuidade</v>
      </c>
      <c r="AL20" s="510"/>
    </row>
    <row r="21" spans="1:38" ht="15" customHeight="1" outlineLevel="1">
      <c r="B21" s="11" t="s">
        <v>31</v>
      </c>
      <c r="C21" s="129" t="s">
        <v>21</v>
      </c>
      <c r="E21" s="515"/>
      <c r="F21" s="515">
        <f t="shared" ref="F21:AC21" si="14">F22+F25</f>
        <v>0</v>
      </c>
      <c r="G21" s="515">
        <f t="shared" si="14"/>
        <v>27551.613564179606</v>
      </c>
      <c r="H21" s="515">
        <f t="shared" si="14"/>
        <v>54689.952924896519</v>
      </c>
      <c r="I21" s="515">
        <f t="shared" si="14"/>
        <v>56426.772366913123</v>
      </c>
      <c r="J21" s="515">
        <f t="shared" si="14"/>
        <v>109269.97317031346</v>
      </c>
      <c r="K21" s="515">
        <f t="shared" si="14"/>
        <v>176777.36350471596</v>
      </c>
      <c r="L21" s="515">
        <f t="shared" si="14"/>
        <v>211258.5503373337</v>
      </c>
      <c r="M21" s="515">
        <f t="shared" si="14"/>
        <v>228881.26772497169</v>
      </c>
      <c r="N21" s="515">
        <f t="shared" si="14"/>
        <v>228218.6936192344</v>
      </c>
      <c r="O21" s="515">
        <f t="shared" si="14"/>
        <v>225192.73448684817</v>
      </c>
      <c r="P21" s="515">
        <f t="shared" si="14"/>
        <v>220464.52227362277</v>
      </c>
      <c r="Q21" s="515">
        <f t="shared" si="14"/>
        <v>215495.90682025318</v>
      </c>
      <c r="R21" s="515">
        <f t="shared" si="14"/>
        <v>210286.88812673942</v>
      </c>
      <c r="S21" s="515">
        <f t="shared" si="14"/>
        <v>204837.46619308149</v>
      </c>
      <c r="T21" s="515">
        <f t="shared" si="14"/>
        <v>199147.64101927937</v>
      </c>
      <c r="U21" s="515">
        <f t="shared" si="14"/>
        <v>193217.41260533308</v>
      </c>
      <c r="V21" s="515">
        <f t="shared" si="14"/>
        <v>187046.7809512426</v>
      </c>
      <c r="W21" s="515">
        <f t="shared" si="14"/>
        <v>180635.74605700796</v>
      </c>
      <c r="X21" s="515">
        <f t="shared" si="14"/>
        <v>173984.30792262914</v>
      </c>
      <c r="Y21" s="515">
        <f t="shared" si="14"/>
        <v>167092.46654810614</v>
      </c>
      <c r="Z21" s="515">
        <f t="shared" si="14"/>
        <v>159960.22193343897</v>
      </c>
      <c r="AA21" s="515">
        <f t="shared" si="14"/>
        <v>152587.5740786276</v>
      </c>
      <c r="AB21" s="515">
        <f>AB22+AB25</f>
        <v>144974.52298367207</v>
      </c>
      <c r="AC21" s="515">
        <f t="shared" si="14"/>
        <v>137121.06864857237</v>
      </c>
      <c r="AD21" s="515">
        <f t="shared" ref="AD21:AJ21" si="15">AD22+AD25</f>
        <v>129027.21107332851</v>
      </c>
      <c r="AE21" s="515">
        <f t="shared" si="15"/>
        <v>120692.95025794045</v>
      </c>
      <c r="AF21" s="515">
        <f t="shared" si="15"/>
        <v>112118.28620240823</v>
      </c>
      <c r="AG21" s="515">
        <f t="shared" si="15"/>
        <v>104405.28344929902</v>
      </c>
      <c r="AH21" s="515">
        <f t="shared" si="15"/>
        <v>97581.493612177001</v>
      </c>
      <c r="AI21" s="515">
        <f t="shared" si="15"/>
        <v>90658.324672668386</v>
      </c>
      <c r="AJ21" s="515">
        <f t="shared" si="15"/>
        <v>85683.036379783211</v>
      </c>
      <c r="AK21" s="515"/>
    </row>
    <row r="22" spans="1:38" ht="15" customHeight="1" outlineLevel="1">
      <c r="B22" s="11" t="s">
        <v>32</v>
      </c>
      <c r="C22" s="129" t="s">
        <v>21</v>
      </c>
      <c r="E22" s="515"/>
      <c r="F22" s="515">
        <f>F23+F24</f>
        <v>0</v>
      </c>
      <c r="G22" s="515">
        <f t="shared" ref="G22:AC22" si="16">G23+G24</f>
        <v>0</v>
      </c>
      <c r="H22" s="515">
        <f t="shared" si="16"/>
        <v>0</v>
      </c>
      <c r="I22" s="515">
        <f t="shared" si="16"/>
        <v>442.89669677540365</v>
      </c>
      <c r="J22" s="515">
        <f t="shared" si="16"/>
        <v>951.70516744207021</v>
      </c>
      <c r="K22" s="515">
        <f t="shared" si="16"/>
        <v>951.70516744207021</v>
      </c>
      <c r="L22" s="515">
        <f t="shared" si="16"/>
        <v>1870.6489481213198</v>
      </c>
      <c r="M22" s="515">
        <f t="shared" si="16"/>
        <v>3165.3328383005683</v>
      </c>
      <c r="N22" s="515">
        <f t="shared" si="16"/>
        <v>3830.5241884798193</v>
      </c>
      <c r="O22" s="515">
        <f t="shared" si="16"/>
        <v>4082.3212044798202</v>
      </c>
      <c r="P22" s="515">
        <f t="shared" si="16"/>
        <v>4082.3212044798202</v>
      </c>
      <c r="Q22" s="515">
        <f t="shared" si="16"/>
        <v>4082.3212044798202</v>
      </c>
      <c r="R22" s="515">
        <f t="shared" si="16"/>
        <v>4082.3212044798202</v>
      </c>
      <c r="S22" s="515">
        <f t="shared" si="16"/>
        <v>4082.3212044798202</v>
      </c>
      <c r="T22" s="515">
        <f t="shared" si="16"/>
        <v>4082.3212044798202</v>
      </c>
      <c r="U22" s="515">
        <f t="shared" si="16"/>
        <v>4082.3212044798202</v>
      </c>
      <c r="V22" s="515">
        <f t="shared" si="16"/>
        <v>4082.3212044798202</v>
      </c>
      <c r="W22" s="515">
        <f t="shared" si="16"/>
        <v>4082.3212044798202</v>
      </c>
      <c r="X22" s="515">
        <f t="shared" si="16"/>
        <v>4082.3212044798202</v>
      </c>
      <c r="Y22" s="515">
        <f t="shared" si="16"/>
        <v>4082.3212044798202</v>
      </c>
      <c r="Z22" s="515">
        <f t="shared" si="16"/>
        <v>4082.3212044798202</v>
      </c>
      <c r="AA22" s="515">
        <f t="shared" si="16"/>
        <v>4082.3212044798202</v>
      </c>
      <c r="AB22" s="515">
        <f t="shared" si="16"/>
        <v>4082.3212044798202</v>
      </c>
      <c r="AC22" s="515">
        <f t="shared" si="16"/>
        <v>4082.3212044798202</v>
      </c>
      <c r="AD22" s="515">
        <f t="shared" ref="AD22:AJ22" si="17">AD23+AD24</f>
        <v>4082.3212044798202</v>
      </c>
      <c r="AE22" s="515">
        <f t="shared" si="17"/>
        <v>4082.3212044798202</v>
      </c>
      <c r="AF22" s="515">
        <f t="shared" si="17"/>
        <v>4082.3212044798202</v>
      </c>
      <c r="AG22" s="515">
        <f t="shared" si="17"/>
        <v>4082.3212044798202</v>
      </c>
      <c r="AH22" s="515">
        <f t="shared" si="17"/>
        <v>4082.3212044798202</v>
      </c>
      <c r="AI22" s="515">
        <f t="shared" si="17"/>
        <v>4082.3212044798202</v>
      </c>
      <c r="AJ22" s="515">
        <f t="shared" si="17"/>
        <v>4082.3212044798202</v>
      </c>
      <c r="AK22" s="515"/>
    </row>
    <row r="23" spans="1:38" ht="15" customHeight="1" outlineLevel="1">
      <c r="B23" s="37" t="s">
        <v>33</v>
      </c>
      <c r="C23" s="129" t="s">
        <v>21</v>
      </c>
      <c r="F23" s="515">
        <f>F11/360*'Premissas e Cálculos'!$D$25</f>
        <v>0</v>
      </c>
      <c r="G23" s="515">
        <f>G11/360*'Premissas e Cálculos'!$D$25</f>
        <v>0</v>
      </c>
      <c r="H23" s="515">
        <f>H11/360*'Premissas e Cálculos'!$D$25</f>
        <v>0</v>
      </c>
      <c r="I23" s="515">
        <f>I11/360*'Premissas e Cálculos'!$D$25</f>
        <v>820.46938850000004</v>
      </c>
      <c r="J23" s="515">
        <f>J11/360*'Premissas e Cálculos'!$D$25</f>
        <v>1483.4884245000001</v>
      </c>
      <c r="K23" s="515">
        <f>K11/360*'Premissas e Cálculos'!$D$25</f>
        <v>1483.4884245000001</v>
      </c>
      <c r="L23" s="515">
        <f>L11/360*'Premissas e Cálculos'!$D$25</f>
        <v>2763.8522607499999</v>
      </c>
      <c r="M23" s="515">
        <f>M11/360*'Premissas e Cálculos'!$D$25</f>
        <v>4516.5671544999987</v>
      </c>
      <c r="N23" s="515">
        <f>N11/360*'Premissas e Cálculos'!$D$25</f>
        <v>5468.1896082499998</v>
      </c>
      <c r="O23" s="515">
        <f>O11/360*'Premissas e Cálculos'!$D$25</f>
        <v>5788.6265842500006</v>
      </c>
      <c r="P23" s="515">
        <f>P11/360*'Premissas e Cálculos'!$D$25</f>
        <v>5788.6265842500006</v>
      </c>
      <c r="Q23" s="515">
        <f>Q11/360*'Premissas e Cálculos'!$D$25</f>
        <v>5788.6265842500006</v>
      </c>
      <c r="R23" s="515">
        <f>R11/360*'Premissas e Cálculos'!$D$25</f>
        <v>5788.6265842500006</v>
      </c>
      <c r="S23" s="515">
        <f>S11/360*'Premissas e Cálculos'!$D$25</f>
        <v>5788.6265842500006</v>
      </c>
      <c r="T23" s="515">
        <f>T11/360*'Premissas e Cálculos'!$D$25</f>
        <v>5788.6265842500006</v>
      </c>
      <c r="U23" s="515">
        <f>U11/360*'Premissas e Cálculos'!$D$25</f>
        <v>5788.6265842500006</v>
      </c>
      <c r="V23" s="515">
        <f>V11/360*'Premissas e Cálculos'!$D$25</f>
        <v>5788.6265842500006</v>
      </c>
      <c r="W23" s="515">
        <f>W11/360*'Premissas e Cálculos'!$D$25</f>
        <v>5788.6265842500006</v>
      </c>
      <c r="X23" s="515">
        <f>X11/360*'Premissas e Cálculos'!$D$25</f>
        <v>5788.6265842500006</v>
      </c>
      <c r="Y23" s="515">
        <f>Y11/360*'Premissas e Cálculos'!$D$25</f>
        <v>5788.6265842500006</v>
      </c>
      <c r="Z23" s="515">
        <f>Z11/360*'Premissas e Cálculos'!$D$25</f>
        <v>5788.6265842500006</v>
      </c>
      <c r="AA23" s="515">
        <f>AA11/360*'Premissas e Cálculos'!$D$25</f>
        <v>5788.6265842500006</v>
      </c>
      <c r="AB23" s="515">
        <f>AB11/360*'Premissas e Cálculos'!$D$25</f>
        <v>5788.6265842500006</v>
      </c>
      <c r="AC23" s="515">
        <f>AC11/360*'Premissas e Cálculos'!$D$25</f>
        <v>5788.6265842500006</v>
      </c>
      <c r="AD23" s="515">
        <f>AD11/360*'Premissas e Cálculos'!$D$25</f>
        <v>5788.6265842500006</v>
      </c>
      <c r="AE23" s="515">
        <f>AE11/360*'Premissas e Cálculos'!$D$25</f>
        <v>5788.6265842500006</v>
      </c>
      <c r="AF23" s="515">
        <f>AF11/360*'Premissas e Cálculos'!$D$25</f>
        <v>5788.6265842500006</v>
      </c>
      <c r="AG23" s="515">
        <f>AG11/360*'Premissas e Cálculos'!$D$25</f>
        <v>5788.6265842500006</v>
      </c>
      <c r="AH23" s="515">
        <f>AH11/360*'Premissas e Cálculos'!$D$25</f>
        <v>5788.6265842500006</v>
      </c>
      <c r="AI23" s="515">
        <f>AI11/360*'Premissas e Cálculos'!$D$25</f>
        <v>5788.6265842500006</v>
      </c>
      <c r="AJ23" s="515">
        <f>AJ11/360*'Premissas e Cálculos'!$D$25</f>
        <v>5788.6265842500006</v>
      </c>
      <c r="AK23" s="515"/>
    </row>
    <row r="24" spans="1:38" ht="15" customHeight="1" outlineLevel="1">
      <c r="B24" s="37" t="s">
        <v>34</v>
      </c>
      <c r="C24" s="129" t="s">
        <v>21</v>
      </c>
      <c r="F24" s="515">
        <f>F12/360*'Premissas e Cálculos'!$D$26</f>
        <v>0</v>
      </c>
      <c r="G24" s="515">
        <f>G12/360*'Premissas e Cálculos'!$D$26</f>
        <v>0</v>
      </c>
      <c r="H24" s="515">
        <f>H12/360*'Premissas e Cálculos'!$D$26</f>
        <v>0</v>
      </c>
      <c r="I24" s="515">
        <f>I12/360*'Premissas e Cálculos'!$D$26</f>
        <v>-377.57269172459638</v>
      </c>
      <c r="J24" s="515">
        <f>J12/360*'Premissas e Cálculos'!$D$26</f>
        <v>-531.78325705792986</v>
      </c>
      <c r="K24" s="515">
        <f>K12/360*'Premissas e Cálculos'!$D$26</f>
        <v>-531.78325705792986</v>
      </c>
      <c r="L24" s="515">
        <f>L12/360*'Premissas e Cálculos'!$D$26</f>
        <v>-893.20331262868012</v>
      </c>
      <c r="M24" s="515">
        <f>M12/360*'Premissas e Cálculos'!$D$26</f>
        <v>-1351.2343161994304</v>
      </c>
      <c r="N24" s="515">
        <f>N12/360*'Premissas e Cálculos'!$D$26</f>
        <v>-1637.6654197701805</v>
      </c>
      <c r="O24" s="515">
        <f>O12/360*'Premissas e Cálculos'!$D$26</f>
        <v>-1706.3053797701805</v>
      </c>
      <c r="P24" s="515">
        <f>P12/360*'Premissas e Cálculos'!$D$26</f>
        <v>-1706.3053797701805</v>
      </c>
      <c r="Q24" s="515">
        <f>Q12/360*'Premissas e Cálculos'!$D$26</f>
        <v>-1706.3053797701805</v>
      </c>
      <c r="R24" s="515">
        <f>R12/360*'Premissas e Cálculos'!$D$26</f>
        <v>-1706.3053797701805</v>
      </c>
      <c r="S24" s="515">
        <f>S12/360*'Premissas e Cálculos'!$D$26</f>
        <v>-1706.3053797701805</v>
      </c>
      <c r="T24" s="515">
        <f>T12/360*'Premissas e Cálculos'!$D$26</f>
        <v>-1706.3053797701805</v>
      </c>
      <c r="U24" s="515">
        <f>U12/360*'Premissas e Cálculos'!$D$26</f>
        <v>-1706.3053797701805</v>
      </c>
      <c r="V24" s="515">
        <f>V12/360*'Premissas e Cálculos'!$D$26</f>
        <v>-1706.3053797701805</v>
      </c>
      <c r="W24" s="515">
        <f>W12/360*'Premissas e Cálculos'!$D$26</f>
        <v>-1706.3053797701805</v>
      </c>
      <c r="X24" s="515">
        <f>X12/360*'Premissas e Cálculos'!$D$26</f>
        <v>-1706.3053797701805</v>
      </c>
      <c r="Y24" s="515">
        <f>Y12/360*'Premissas e Cálculos'!$D$26</f>
        <v>-1706.3053797701805</v>
      </c>
      <c r="Z24" s="515">
        <f>Z12/360*'Premissas e Cálculos'!$D$26</f>
        <v>-1706.3053797701805</v>
      </c>
      <c r="AA24" s="515">
        <f>AA12/360*'Premissas e Cálculos'!$D$26</f>
        <v>-1706.3053797701805</v>
      </c>
      <c r="AB24" s="515">
        <f>AB12/360*'Premissas e Cálculos'!$D$26</f>
        <v>-1706.3053797701805</v>
      </c>
      <c r="AC24" s="515">
        <f>AC12/360*'Premissas e Cálculos'!$D$26</f>
        <v>-1706.3053797701805</v>
      </c>
      <c r="AD24" s="515">
        <f>AD12/360*'Premissas e Cálculos'!$D$26</f>
        <v>-1706.3053797701805</v>
      </c>
      <c r="AE24" s="515">
        <f>AE12/360*'Premissas e Cálculos'!$D$26</f>
        <v>-1706.3053797701805</v>
      </c>
      <c r="AF24" s="515">
        <f>AF12/360*'Premissas e Cálculos'!$D$26</f>
        <v>-1706.3053797701805</v>
      </c>
      <c r="AG24" s="515">
        <f>AG12/360*'Premissas e Cálculos'!$D$26</f>
        <v>-1706.3053797701805</v>
      </c>
      <c r="AH24" s="515">
        <f>AH12/360*'Premissas e Cálculos'!$D$26</f>
        <v>-1706.3053797701805</v>
      </c>
      <c r="AI24" s="515">
        <f>AI12/360*'Premissas e Cálculos'!$D$26</f>
        <v>-1706.3053797701805</v>
      </c>
      <c r="AJ24" s="515">
        <f>AJ12/360*'Premissas e Cálculos'!$D$26</f>
        <v>-1706.3053797701805</v>
      </c>
      <c r="AK24" s="515"/>
    </row>
    <row r="25" spans="1:38" ht="15" customHeight="1" outlineLevel="1">
      <c r="B25" s="11" t="s">
        <v>35</v>
      </c>
      <c r="C25" s="129" t="s">
        <v>21</v>
      </c>
      <c r="F25" s="518">
        <f>'Premissas e Cálculos'!E237</f>
        <v>0</v>
      </c>
      <c r="G25" s="518">
        <f>'Premissas e Cálculos'!F237</f>
        <v>27551.613564179606</v>
      </c>
      <c r="H25" s="518">
        <f>'Premissas e Cálculos'!G237</f>
        <v>54689.952924896519</v>
      </c>
      <c r="I25" s="518">
        <f>'Premissas e Cálculos'!H237</f>
        <v>55983.875670137721</v>
      </c>
      <c r="J25" s="518">
        <f>'Premissas e Cálculos'!I237</f>
        <v>108318.26800287139</v>
      </c>
      <c r="K25" s="518">
        <f>'Premissas e Cálculos'!J237</f>
        <v>175825.6583372739</v>
      </c>
      <c r="L25" s="518">
        <f>'Premissas e Cálculos'!K237</f>
        <v>209387.90138921238</v>
      </c>
      <c r="M25" s="518">
        <f>'Premissas e Cálculos'!L237</f>
        <v>225715.93488667114</v>
      </c>
      <c r="N25" s="518">
        <f>'Premissas e Cálculos'!M237</f>
        <v>224388.16943075458</v>
      </c>
      <c r="O25" s="518">
        <f>'Premissas e Cálculos'!N237</f>
        <v>221110.41328236836</v>
      </c>
      <c r="P25" s="518">
        <f>'Premissas e Cálculos'!O237</f>
        <v>216382.20106914296</v>
      </c>
      <c r="Q25" s="518">
        <f>'Premissas e Cálculos'!P237</f>
        <v>211413.58561577337</v>
      </c>
      <c r="R25" s="518">
        <f>'Premissas e Cálculos'!Q237</f>
        <v>206204.5669222596</v>
      </c>
      <c r="S25" s="518">
        <f>'Premissas e Cálculos'!R237</f>
        <v>200755.14498860168</v>
      </c>
      <c r="T25" s="518">
        <f>'Premissas e Cálculos'!S237</f>
        <v>195065.31981479956</v>
      </c>
      <c r="U25" s="518">
        <f>'Premissas e Cálculos'!T237</f>
        <v>189135.09140085327</v>
      </c>
      <c r="V25" s="518">
        <f>'Premissas e Cálculos'!U237</f>
        <v>182964.45974676279</v>
      </c>
      <c r="W25" s="518">
        <f>'Premissas e Cálculos'!V237</f>
        <v>176553.42485252814</v>
      </c>
      <c r="X25" s="518">
        <f>'Premissas e Cálculos'!W237</f>
        <v>169901.98671814933</v>
      </c>
      <c r="Y25" s="518">
        <f>'Premissas e Cálculos'!X237</f>
        <v>163010.14534362633</v>
      </c>
      <c r="Z25" s="518">
        <f>'Premissas e Cálculos'!Y237</f>
        <v>155877.90072895915</v>
      </c>
      <c r="AA25" s="518">
        <f>'Premissas e Cálculos'!Z237</f>
        <v>148505.25287414779</v>
      </c>
      <c r="AB25" s="518">
        <f>'Premissas e Cálculos'!AA237</f>
        <v>140892.20177919226</v>
      </c>
      <c r="AC25" s="518">
        <f>'Premissas e Cálculos'!AB237</f>
        <v>133038.74744409256</v>
      </c>
      <c r="AD25" s="518">
        <f>'Premissas e Cálculos'!AC237</f>
        <v>124944.88986884868</v>
      </c>
      <c r="AE25" s="518">
        <f>'Premissas e Cálculos'!AD237</f>
        <v>116610.62905346064</v>
      </c>
      <c r="AF25" s="518">
        <f>'Premissas e Cálculos'!AE237</f>
        <v>108035.96499792841</v>
      </c>
      <c r="AG25" s="518">
        <f>'Premissas e Cálculos'!AF237</f>
        <v>100322.96224481921</v>
      </c>
      <c r="AH25" s="518">
        <f>'Premissas e Cálculos'!AG237</f>
        <v>93499.172407697188</v>
      </c>
      <c r="AI25" s="518">
        <f>'Premissas e Cálculos'!AH237</f>
        <v>86576.003468188574</v>
      </c>
      <c r="AJ25" s="518">
        <f>'Premissas e Cálculos'!AI237</f>
        <v>81600.715175303383</v>
      </c>
      <c r="AK25" s="518"/>
    </row>
    <row r="26" spans="1:38" ht="15" customHeight="1" outlineLevel="1">
      <c r="B26" s="11" t="s">
        <v>36</v>
      </c>
      <c r="C26" s="129" t="s">
        <v>21</v>
      </c>
      <c r="E26" s="518"/>
      <c r="F26" s="518">
        <f t="shared" ref="F26:AC26" si="18">F21</f>
        <v>0</v>
      </c>
      <c r="G26" s="518">
        <f t="shared" si="18"/>
        <v>27551.613564179606</v>
      </c>
      <c r="H26" s="518">
        <f t="shared" si="18"/>
        <v>54689.952924896519</v>
      </c>
      <c r="I26" s="518">
        <f t="shared" si="18"/>
        <v>56426.772366913123</v>
      </c>
      <c r="J26" s="518">
        <f t="shared" si="18"/>
        <v>109269.97317031346</v>
      </c>
      <c r="K26" s="518">
        <f t="shared" si="18"/>
        <v>176777.36350471596</v>
      </c>
      <c r="L26" s="518">
        <f t="shared" si="18"/>
        <v>211258.5503373337</v>
      </c>
      <c r="M26" s="518">
        <f t="shared" si="18"/>
        <v>228881.26772497169</v>
      </c>
      <c r="N26" s="518">
        <f t="shared" si="18"/>
        <v>228218.6936192344</v>
      </c>
      <c r="O26" s="518">
        <f t="shared" si="18"/>
        <v>225192.73448684817</v>
      </c>
      <c r="P26" s="518">
        <f t="shared" si="18"/>
        <v>220464.52227362277</v>
      </c>
      <c r="Q26" s="518">
        <f t="shared" si="18"/>
        <v>215495.90682025318</v>
      </c>
      <c r="R26" s="518">
        <f t="shared" si="18"/>
        <v>210286.88812673942</v>
      </c>
      <c r="S26" s="518">
        <f t="shared" si="18"/>
        <v>204837.46619308149</v>
      </c>
      <c r="T26" s="518">
        <f t="shared" si="18"/>
        <v>199147.64101927937</v>
      </c>
      <c r="U26" s="518">
        <f t="shared" si="18"/>
        <v>193217.41260533308</v>
      </c>
      <c r="V26" s="518">
        <f t="shared" si="18"/>
        <v>187046.7809512426</v>
      </c>
      <c r="W26" s="518">
        <f t="shared" si="18"/>
        <v>180635.74605700796</v>
      </c>
      <c r="X26" s="518">
        <f t="shared" si="18"/>
        <v>173984.30792262914</v>
      </c>
      <c r="Y26" s="518">
        <f t="shared" si="18"/>
        <v>167092.46654810614</v>
      </c>
      <c r="Z26" s="518">
        <f t="shared" si="18"/>
        <v>159960.22193343897</v>
      </c>
      <c r="AA26" s="518">
        <f t="shared" si="18"/>
        <v>152587.5740786276</v>
      </c>
      <c r="AB26" s="518">
        <f>AB21</f>
        <v>144974.52298367207</v>
      </c>
      <c r="AC26" s="518">
        <f t="shared" si="18"/>
        <v>137121.06864857237</v>
      </c>
      <c r="AD26" s="518">
        <f t="shared" ref="AD26:AJ26" si="19">AD21</f>
        <v>129027.21107332851</v>
      </c>
      <c r="AE26" s="518">
        <f t="shared" si="19"/>
        <v>120692.95025794045</v>
      </c>
      <c r="AF26" s="518">
        <f t="shared" si="19"/>
        <v>112118.28620240823</v>
      </c>
      <c r="AG26" s="518">
        <f t="shared" si="19"/>
        <v>104405.28344929902</v>
      </c>
      <c r="AH26" s="518">
        <f t="shared" si="19"/>
        <v>97581.493612177001</v>
      </c>
      <c r="AI26" s="518">
        <f t="shared" si="19"/>
        <v>90658.324672668386</v>
      </c>
      <c r="AJ26" s="518">
        <f t="shared" si="19"/>
        <v>85683.036379783211</v>
      </c>
      <c r="AK26" s="518"/>
    </row>
    <row r="27" spans="1:38" ht="15" customHeight="1"/>
    <row r="28" spans="1:38" ht="15" customHeight="1">
      <c r="A28" s="510"/>
      <c r="B28" s="510" t="s">
        <v>37</v>
      </c>
      <c r="C28" s="511"/>
      <c r="D28" s="512" t="s">
        <v>40</v>
      </c>
      <c r="E28" s="512" t="s">
        <v>1</v>
      </c>
      <c r="F28" s="513" t="str" cm="1">
        <f t="array" ref="F28:AK28">$F$6:$AK$6</f>
        <v>Ano 0</v>
      </c>
      <c r="G28" s="512" t="str">
        <v>Ano 1</v>
      </c>
      <c r="H28" s="512" t="str">
        <v>Ano 2</v>
      </c>
      <c r="I28" s="512" t="str">
        <v>Ano 3</v>
      </c>
      <c r="J28" s="512" t="str">
        <v>Ano 4</v>
      </c>
      <c r="K28" s="512" t="str">
        <v>Ano 5</v>
      </c>
      <c r="L28" s="512" t="str">
        <v>Ano 6</v>
      </c>
      <c r="M28" s="512" t="str">
        <v>Ano 7</v>
      </c>
      <c r="N28" s="512" t="str">
        <v>Ano 8</v>
      </c>
      <c r="O28" s="512" t="str">
        <v>Ano 9</v>
      </c>
      <c r="P28" s="512" t="str">
        <v>Ano 10</v>
      </c>
      <c r="Q28" s="512" t="str">
        <v>Ano 11</v>
      </c>
      <c r="R28" s="512" t="str">
        <v>Ano 12</v>
      </c>
      <c r="S28" s="512" t="str">
        <v>Ano 13</v>
      </c>
      <c r="T28" s="512" t="str">
        <v>Ano 14</v>
      </c>
      <c r="U28" s="512" t="str">
        <v>Ano 15</v>
      </c>
      <c r="V28" s="512" t="str">
        <v>Ano 16</v>
      </c>
      <c r="W28" s="512" t="str">
        <v>Ano 17</v>
      </c>
      <c r="X28" s="512" t="str">
        <v>Ano 18</v>
      </c>
      <c r="Y28" s="512" t="str">
        <v>Ano 19</v>
      </c>
      <c r="Z28" s="512" t="str">
        <v>Ano 20</v>
      </c>
      <c r="AA28" s="512" t="str">
        <v>Ano 21</v>
      </c>
      <c r="AB28" s="512" t="str">
        <v>Ano 22</v>
      </c>
      <c r="AC28" s="512" t="str">
        <v>Ano 23</v>
      </c>
      <c r="AD28" s="512" t="str">
        <v>Ano 24</v>
      </c>
      <c r="AE28" s="512" t="str">
        <v>Ano 25</v>
      </c>
      <c r="AF28" s="512" t="str">
        <v>Ano 26</v>
      </c>
      <c r="AG28" s="512" t="str">
        <v>Ano 27</v>
      </c>
      <c r="AH28" s="512" t="str">
        <v>Ano 28</v>
      </c>
      <c r="AI28" s="512" t="str">
        <v>Ano 29</v>
      </c>
      <c r="AJ28" s="512" t="str">
        <v>Ano 30</v>
      </c>
      <c r="AK28" s="512" t="str">
        <v>Perpetuidade</v>
      </c>
      <c r="AL28" s="510"/>
    </row>
    <row r="29" spans="1:38" ht="15" customHeight="1" outlineLevel="1">
      <c r="B29" s="11" t="str">
        <f>B13</f>
        <v>(=) EBITDA</v>
      </c>
      <c r="C29" s="129" t="s">
        <v>21</v>
      </c>
      <c r="D29" s="515">
        <f>NPV('Premissas e Cálculos'!$D$35,G29:AK29)+F29</f>
        <v>347837.58619306597</v>
      </c>
      <c r="E29" s="515">
        <f t="shared" ref="E29:E32" si="20">SUM(F29:AC29)</f>
        <v>869371.57288510306</v>
      </c>
      <c r="F29" s="515">
        <f t="shared" ref="F29:AC29" si="21">F13</f>
        <v>0</v>
      </c>
      <c r="G29" s="515">
        <f t="shared" si="21"/>
        <v>0</v>
      </c>
      <c r="H29" s="515">
        <f t="shared" si="21"/>
        <v>0</v>
      </c>
      <c r="I29" s="515">
        <f t="shared" si="21"/>
        <v>5314.7603613048432</v>
      </c>
      <c r="J29" s="515">
        <f t="shared" si="21"/>
        <v>11420.462009304842</v>
      </c>
      <c r="K29" s="515">
        <f t="shared" si="21"/>
        <v>11420.462009304842</v>
      </c>
      <c r="L29" s="515">
        <f t="shared" si="21"/>
        <v>22447.787377455839</v>
      </c>
      <c r="M29" s="515">
        <f t="shared" si="21"/>
        <v>37983.994059606826</v>
      </c>
      <c r="N29" s="515">
        <f t="shared" si="21"/>
        <v>45966.290261757837</v>
      </c>
      <c r="O29" s="515">
        <f t="shared" si="21"/>
        <v>48987.854453757842</v>
      </c>
      <c r="P29" s="515">
        <f t="shared" si="21"/>
        <v>48987.854453757842</v>
      </c>
      <c r="Q29" s="515">
        <f t="shared" si="21"/>
        <v>48987.854453757842</v>
      </c>
      <c r="R29" s="515">
        <f t="shared" si="21"/>
        <v>48987.854453757842</v>
      </c>
      <c r="S29" s="515">
        <f t="shared" si="21"/>
        <v>48987.854453757842</v>
      </c>
      <c r="T29" s="515">
        <f t="shared" si="21"/>
        <v>48987.854453757842</v>
      </c>
      <c r="U29" s="515">
        <f t="shared" si="21"/>
        <v>48987.854453757842</v>
      </c>
      <c r="V29" s="515">
        <f t="shared" si="21"/>
        <v>48987.854453757842</v>
      </c>
      <c r="W29" s="515">
        <f t="shared" si="21"/>
        <v>48987.854453757842</v>
      </c>
      <c r="X29" s="515">
        <f t="shared" si="21"/>
        <v>48987.854453757842</v>
      </c>
      <c r="Y29" s="515">
        <f t="shared" si="21"/>
        <v>48987.854453757842</v>
      </c>
      <c r="Z29" s="515">
        <f t="shared" si="21"/>
        <v>48987.854453757842</v>
      </c>
      <c r="AA29" s="515">
        <f t="shared" si="21"/>
        <v>48987.854453757842</v>
      </c>
      <c r="AB29" s="515">
        <f t="shared" si="21"/>
        <v>48987.854453757842</v>
      </c>
      <c r="AC29" s="515">
        <f t="shared" si="21"/>
        <v>48987.854453757842</v>
      </c>
      <c r="AD29" s="515">
        <f t="shared" ref="AD29:AJ29" si="22">AD13</f>
        <v>48987.854453757842</v>
      </c>
      <c r="AE29" s="515">
        <f t="shared" si="22"/>
        <v>48987.854453757842</v>
      </c>
      <c r="AF29" s="515">
        <f t="shared" si="22"/>
        <v>48987.854453757842</v>
      </c>
      <c r="AG29" s="515">
        <f t="shared" si="22"/>
        <v>48987.854453757842</v>
      </c>
      <c r="AH29" s="515">
        <f t="shared" si="22"/>
        <v>48987.854453757842</v>
      </c>
      <c r="AI29" s="515">
        <f t="shared" si="22"/>
        <v>48987.854453757842</v>
      </c>
      <c r="AJ29" s="515">
        <f t="shared" si="22"/>
        <v>48987.854453757842</v>
      </c>
      <c r="AK29" s="515"/>
    </row>
    <row r="30" spans="1:38" ht="15" customHeight="1" outlineLevel="1">
      <c r="B30" s="11" t="s">
        <v>38</v>
      </c>
      <c r="C30" s="129" t="s">
        <v>21</v>
      </c>
      <c r="D30" s="515">
        <f>NPV('Premissas e Cálculos'!$D$35,G30:AK30)+F30</f>
        <v>-2534.1265401248288</v>
      </c>
      <c r="E30" s="515">
        <f t="shared" si="20"/>
        <v>-4082.3212044798202</v>
      </c>
      <c r="F30" s="515">
        <f t="shared" ref="F30:AC30" si="23">-F22+E22</f>
        <v>0</v>
      </c>
      <c r="G30" s="515">
        <f t="shared" si="23"/>
        <v>0</v>
      </c>
      <c r="H30" s="515">
        <f t="shared" si="23"/>
        <v>0</v>
      </c>
      <c r="I30" s="515">
        <f t="shared" si="23"/>
        <v>-442.89669677540365</v>
      </c>
      <c r="J30" s="515">
        <f t="shared" si="23"/>
        <v>-508.80847066666655</v>
      </c>
      <c r="K30" s="515">
        <f t="shared" si="23"/>
        <v>0</v>
      </c>
      <c r="L30" s="515">
        <f t="shared" si="23"/>
        <v>-918.94378067924958</v>
      </c>
      <c r="M30" s="515">
        <f t="shared" si="23"/>
        <v>-1294.6838901792485</v>
      </c>
      <c r="N30" s="515">
        <f t="shared" si="23"/>
        <v>-665.191350179251</v>
      </c>
      <c r="O30" s="515">
        <f t="shared" si="23"/>
        <v>-251.79701600000089</v>
      </c>
      <c r="P30" s="515">
        <f t="shared" si="23"/>
        <v>0</v>
      </c>
      <c r="Q30" s="515">
        <f t="shared" si="23"/>
        <v>0</v>
      </c>
      <c r="R30" s="515">
        <f t="shared" si="23"/>
        <v>0</v>
      </c>
      <c r="S30" s="515">
        <f t="shared" si="23"/>
        <v>0</v>
      </c>
      <c r="T30" s="515">
        <f t="shared" si="23"/>
        <v>0</v>
      </c>
      <c r="U30" s="515">
        <f t="shared" si="23"/>
        <v>0</v>
      </c>
      <c r="V30" s="515">
        <f t="shared" si="23"/>
        <v>0</v>
      </c>
      <c r="W30" s="515">
        <f t="shared" si="23"/>
        <v>0</v>
      </c>
      <c r="X30" s="515">
        <f t="shared" si="23"/>
        <v>0</v>
      </c>
      <c r="Y30" s="515">
        <f t="shared" si="23"/>
        <v>0</v>
      </c>
      <c r="Z30" s="515">
        <f t="shared" si="23"/>
        <v>0</v>
      </c>
      <c r="AA30" s="515">
        <f t="shared" si="23"/>
        <v>0</v>
      </c>
      <c r="AB30" s="515">
        <f t="shared" si="23"/>
        <v>0</v>
      </c>
      <c r="AC30" s="515">
        <f t="shared" si="23"/>
        <v>0</v>
      </c>
      <c r="AD30" s="515">
        <f t="shared" ref="AD30" si="24">-AD22+AC22</f>
        <v>0</v>
      </c>
      <c r="AE30" s="515">
        <f t="shared" ref="AE30" si="25">-AE22+AD22</f>
        <v>0</v>
      </c>
      <c r="AF30" s="515">
        <f t="shared" ref="AF30" si="26">-AF22+AE22</f>
        <v>0</v>
      </c>
      <c r="AG30" s="515">
        <f t="shared" ref="AG30" si="27">-AG22+AF22</f>
        <v>0</v>
      </c>
      <c r="AH30" s="515">
        <f t="shared" ref="AH30" si="28">-AH22+AG22</f>
        <v>0</v>
      </c>
      <c r="AI30" s="515">
        <f t="shared" ref="AI30" si="29">-AI22+AH22</f>
        <v>0</v>
      </c>
      <c r="AJ30" s="515">
        <f t="shared" ref="AJ30" si="30">-AJ22+AI22</f>
        <v>0</v>
      </c>
      <c r="AK30" s="515"/>
    </row>
    <row r="31" spans="1:38" ht="15" customHeight="1" outlineLevel="1">
      <c r="B31" s="11" t="s">
        <v>39</v>
      </c>
      <c r="C31" s="129" t="s">
        <v>21</v>
      </c>
      <c r="D31" s="515">
        <f>NPV('Premissas e Cálculos'!$D$35,G31:AK31)+F31</f>
        <v>-219906.33545588391</v>
      </c>
      <c r="E31" s="515">
        <f t="shared" si="20"/>
        <v>-352598.46447120688</v>
      </c>
      <c r="F31" s="515">
        <f>-'Premissas e Cálculos'!E198</f>
        <v>0</v>
      </c>
      <c r="G31" s="515">
        <f>-'Premissas e Cálculos'!F198</f>
        <v>-27551.613564179606</v>
      </c>
      <c r="H31" s="515">
        <f>-'Premissas e Cálculos'!G198</f>
        <v>-28240.403903284096</v>
      </c>
      <c r="I31" s="515">
        <f>-'Premissas e Cálculos'!H198</f>
        <v>-3525.6034439397495</v>
      </c>
      <c r="J31" s="515">
        <f>-'Premissas e Cálculos'!I198</f>
        <v>-54707.097169189816</v>
      </c>
      <c r="K31" s="515">
        <f>-'Premissas e Cálculos'!J198</f>
        <v>-72068.37905762624</v>
      </c>
      <c r="L31" s="515">
        <f>-'Premissas e Cálculos'!K198</f>
        <v>-41005.966937467252</v>
      </c>
      <c r="M31" s="515">
        <f>-'Premissas e Cálculos'!L198</f>
        <v>-25411.996060486232</v>
      </c>
      <c r="N31" s="515">
        <f>-'Premissas e Cálculos'!M198</f>
        <v>-8772.6769495303743</v>
      </c>
      <c r="O31" s="515">
        <f>-'Premissas e Cálculos'!N198</f>
        <v>-7173.5933350419127</v>
      </c>
      <c r="P31" s="515">
        <f>-'Premissas e Cálculos'!O198</f>
        <v>-6010.0810036044122</v>
      </c>
      <c r="Q31" s="515">
        <f>-'Premissas e Cálculos'!P198</f>
        <v>-6010.0810036044122</v>
      </c>
      <c r="R31" s="515">
        <f>-'Premissas e Cálculos'!Q198</f>
        <v>-6010.0810036044122</v>
      </c>
      <c r="S31" s="515">
        <f>-'Premissas e Cálculos'!R198</f>
        <v>-6010.0810036044122</v>
      </c>
      <c r="T31" s="515">
        <f>-'Premissas e Cálculos'!S198</f>
        <v>-6010.0810036044122</v>
      </c>
      <c r="U31" s="515">
        <f>-'Premissas e Cálculos'!T198</f>
        <v>-6010.0810036044122</v>
      </c>
      <c r="V31" s="515">
        <f>-'Premissas e Cálculos'!U198</f>
        <v>-6010.0810036044122</v>
      </c>
      <c r="W31" s="515">
        <f>-'Premissas e Cálculos'!V198</f>
        <v>-6010.0810036044122</v>
      </c>
      <c r="X31" s="515">
        <f>-'Premissas e Cálculos'!W198</f>
        <v>-6010.0810036044122</v>
      </c>
      <c r="Y31" s="515">
        <f>-'Premissas e Cálculos'!X198</f>
        <v>-6010.0810036044122</v>
      </c>
      <c r="Z31" s="515">
        <f>-'Premissas e Cálculos'!Y198</f>
        <v>-6010.0810036044122</v>
      </c>
      <c r="AA31" s="515">
        <f>-'Premissas e Cálculos'!Z198</f>
        <v>-6010.0810036044122</v>
      </c>
      <c r="AB31" s="515">
        <f>-'Premissas e Cálculos'!AA198</f>
        <v>-6010.0810036044122</v>
      </c>
      <c r="AC31" s="515">
        <f>-'Premissas e Cálculos'!AB198</f>
        <v>-6010.0810036044122</v>
      </c>
      <c r="AD31" s="515">
        <f>-'Premissas e Cálculos'!AC198</f>
        <v>-6010.0810036044122</v>
      </c>
      <c r="AE31" s="515">
        <f>-'Premissas e Cálculos'!AD198</f>
        <v>-6010.0810036044122</v>
      </c>
      <c r="AF31" s="515">
        <f>-'Premissas e Cálculos'!AE198</f>
        <v>-6010.0810036044122</v>
      </c>
      <c r="AG31" s="515">
        <f>-'Premissas e Cálculos'!AF198</f>
        <v>-6010.0810036044122</v>
      </c>
      <c r="AH31" s="515">
        <f>-'Premissas e Cálculos'!AG198</f>
        <v>-6010.0810036044122</v>
      </c>
      <c r="AI31" s="515">
        <f>-'Premissas e Cálculos'!AH198</f>
        <v>-6010.0810036044122</v>
      </c>
      <c r="AJ31" s="515">
        <f>-'Premissas e Cálculos'!AI198</f>
        <v>-6010.0810036044122</v>
      </c>
      <c r="AK31" s="515"/>
    </row>
    <row r="32" spans="1:38" ht="15" customHeight="1" outlineLevel="1">
      <c r="B32" s="11" t="str">
        <f>B17</f>
        <v>(-) IRPJ/CSLL</v>
      </c>
      <c r="C32" s="129" t="s">
        <v>21</v>
      </c>
      <c r="D32" s="515">
        <f>NPV('Premissas e Cálculos'!$D$35,G32:AK32)+F32</f>
        <v>-15938.421334217404</v>
      </c>
      <c r="E32" s="515">
        <f t="shared" si="20"/>
        <v>-39651.138357600008</v>
      </c>
      <c r="F32" s="515">
        <f t="shared" ref="F32:AC32" si="31">F17</f>
        <v>0</v>
      </c>
      <c r="G32" s="515">
        <f t="shared" si="31"/>
        <v>0</v>
      </c>
      <c r="H32" s="515">
        <f t="shared" si="31"/>
        <v>0</v>
      </c>
      <c r="I32" s="515">
        <f t="shared" si="31"/>
        <v>-314.73324959999997</v>
      </c>
      <c r="J32" s="515">
        <f t="shared" si="31"/>
        <v>-569.06831520000003</v>
      </c>
      <c r="K32" s="515">
        <f t="shared" si="31"/>
        <v>-569.06831520000003</v>
      </c>
      <c r="L32" s="515">
        <f t="shared" si="31"/>
        <v>-1060.2177432000001</v>
      </c>
      <c r="M32" s="515">
        <f t="shared" si="31"/>
        <v>-1732.5617232</v>
      </c>
      <c r="N32" s="515">
        <f t="shared" si="31"/>
        <v>-2097.6054792</v>
      </c>
      <c r="O32" s="515">
        <f t="shared" si="31"/>
        <v>-2220.5255688000002</v>
      </c>
      <c r="P32" s="515">
        <f t="shared" si="31"/>
        <v>-2220.5255688000002</v>
      </c>
      <c r="Q32" s="515">
        <f t="shared" si="31"/>
        <v>-2220.5255688000002</v>
      </c>
      <c r="R32" s="515">
        <f t="shared" si="31"/>
        <v>-2220.5255688000002</v>
      </c>
      <c r="S32" s="515">
        <f t="shared" si="31"/>
        <v>-2220.5255688000002</v>
      </c>
      <c r="T32" s="515">
        <f t="shared" si="31"/>
        <v>-2220.5255688000002</v>
      </c>
      <c r="U32" s="515">
        <f t="shared" si="31"/>
        <v>-2220.5255688000002</v>
      </c>
      <c r="V32" s="515">
        <f t="shared" si="31"/>
        <v>-2220.5255688000002</v>
      </c>
      <c r="W32" s="515">
        <f t="shared" si="31"/>
        <v>-2220.5255688000002</v>
      </c>
      <c r="X32" s="515">
        <f t="shared" si="31"/>
        <v>-2220.5255688000002</v>
      </c>
      <c r="Y32" s="515">
        <f t="shared" si="31"/>
        <v>-2220.5255688000002</v>
      </c>
      <c r="Z32" s="515">
        <f t="shared" si="31"/>
        <v>-2220.5255688000002</v>
      </c>
      <c r="AA32" s="515">
        <f t="shared" si="31"/>
        <v>-2220.5255688000002</v>
      </c>
      <c r="AB32" s="515">
        <f t="shared" si="31"/>
        <v>-2220.5255688000002</v>
      </c>
      <c r="AC32" s="515">
        <f t="shared" si="31"/>
        <v>-2220.5255688000002</v>
      </c>
      <c r="AD32" s="515">
        <f t="shared" ref="AD32:AJ32" si="32">AD17</f>
        <v>-2220.5255688000002</v>
      </c>
      <c r="AE32" s="515">
        <f t="shared" si="32"/>
        <v>-2220.5255688000002</v>
      </c>
      <c r="AF32" s="515">
        <f t="shared" si="32"/>
        <v>-2220.5255688000002</v>
      </c>
      <c r="AG32" s="515">
        <f t="shared" si="32"/>
        <v>-2220.5255688000002</v>
      </c>
      <c r="AH32" s="515">
        <f t="shared" si="32"/>
        <v>-2220.5255688000002</v>
      </c>
      <c r="AI32" s="515">
        <f t="shared" si="32"/>
        <v>-2220.5255688000002</v>
      </c>
      <c r="AJ32" s="515">
        <f t="shared" si="32"/>
        <v>-2220.5255688000002</v>
      </c>
      <c r="AK32" s="515"/>
    </row>
    <row r="33" spans="1:38" ht="15" customHeight="1" outlineLevel="1">
      <c r="B33" s="11" t="s">
        <v>135</v>
      </c>
      <c r="C33" s="129" t="s">
        <v>21</v>
      </c>
      <c r="D33" s="515">
        <f>NPV('Premissas e Cálculos'!$D$35,G33:AK33)+F33</f>
        <v>154820.27245697155</v>
      </c>
      <c r="E33" s="515">
        <f t="shared" ref="E33" si="33">SUM(F33:AC33)</f>
        <v>473039.64885181567</v>
      </c>
      <c r="F33" s="515">
        <f>F29+F30+F31+F32</f>
        <v>0</v>
      </c>
      <c r="G33" s="515">
        <f t="shared" ref="G33:AC33" si="34">G29+G30+G31+G32</f>
        <v>-27551.613564179606</v>
      </c>
      <c r="H33" s="515">
        <f t="shared" si="34"/>
        <v>-28240.403903284096</v>
      </c>
      <c r="I33" s="515">
        <f t="shared" si="34"/>
        <v>1031.5269709896897</v>
      </c>
      <c r="J33" s="515">
        <f t="shared" si="34"/>
        <v>-44364.511945751641</v>
      </c>
      <c r="K33" s="515">
        <f t="shared" si="34"/>
        <v>-61216.985363521395</v>
      </c>
      <c r="L33" s="515">
        <f t="shared" si="34"/>
        <v>-20537.34108389066</v>
      </c>
      <c r="M33" s="515">
        <f t="shared" si="34"/>
        <v>9544.7523857413435</v>
      </c>
      <c r="N33" s="515">
        <f t="shared" si="34"/>
        <v>34430.816482848211</v>
      </c>
      <c r="O33" s="515">
        <f t="shared" si="34"/>
        <v>39341.93853391592</v>
      </c>
      <c r="P33" s="515">
        <f t="shared" si="34"/>
        <v>40757.247881353425</v>
      </c>
      <c r="Q33" s="515">
        <f t="shared" si="34"/>
        <v>40757.247881353425</v>
      </c>
      <c r="R33" s="515">
        <f t="shared" si="34"/>
        <v>40757.247881353425</v>
      </c>
      <c r="S33" s="515">
        <f t="shared" si="34"/>
        <v>40757.247881353425</v>
      </c>
      <c r="T33" s="515">
        <f t="shared" si="34"/>
        <v>40757.247881353425</v>
      </c>
      <c r="U33" s="515">
        <f t="shared" si="34"/>
        <v>40757.247881353425</v>
      </c>
      <c r="V33" s="515">
        <f t="shared" si="34"/>
        <v>40757.247881353425</v>
      </c>
      <c r="W33" s="515">
        <f t="shared" si="34"/>
        <v>40757.247881353425</v>
      </c>
      <c r="X33" s="515">
        <f t="shared" si="34"/>
        <v>40757.247881353425</v>
      </c>
      <c r="Y33" s="515">
        <f t="shared" si="34"/>
        <v>40757.247881353425</v>
      </c>
      <c r="Z33" s="515">
        <f t="shared" si="34"/>
        <v>40757.247881353425</v>
      </c>
      <c r="AA33" s="515">
        <f t="shared" si="34"/>
        <v>40757.247881353425</v>
      </c>
      <c r="AB33" s="515">
        <f t="shared" si="34"/>
        <v>40757.247881353425</v>
      </c>
      <c r="AC33" s="515">
        <f t="shared" si="34"/>
        <v>40757.247881353425</v>
      </c>
      <c r="AD33" s="515">
        <f t="shared" ref="AD33:AJ33" si="35">AD29+AD30+AD31+AD32</f>
        <v>40757.247881353425</v>
      </c>
      <c r="AE33" s="515">
        <f t="shared" si="35"/>
        <v>40757.247881353425</v>
      </c>
      <c r="AF33" s="515">
        <f t="shared" si="35"/>
        <v>40757.247881353425</v>
      </c>
      <c r="AG33" s="515">
        <f t="shared" si="35"/>
        <v>40757.247881353425</v>
      </c>
      <c r="AH33" s="515">
        <f t="shared" si="35"/>
        <v>40757.247881353425</v>
      </c>
      <c r="AI33" s="515">
        <f t="shared" si="35"/>
        <v>40757.247881353425</v>
      </c>
      <c r="AJ33" s="515">
        <f t="shared" si="35"/>
        <v>40757.247881353425</v>
      </c>
      <c r="AK33" s="515">
        <f>AJ33/'Premissas e Cálculos'!$D$35</f>
        <v>504421.38467021566</v>
      </c>
    </row>
    <row r="34" spans="1:38" ht="15" customHeight="1" outlineLevel="1">
      <c r="B34" s="11" t="s">
        <v>136</v>
      </c>
      <c r="E34" s="515"/>
      <c r="F34" s="515">
        <f>E34+F33</f>
        <v>0</v>
      </c>
      <c r="G34" s="515">
        <f t="shared" ref="G34:AC34" si="36">F34+G33</f>
        <v>-27551.613564179606</v>
      </c>
      <c r="H34" s="515">
        <f t="shared" si="36"/>
        <v>-55792.017467463702</v>
      </c>
      <c r="I34" s="515">
        <f t="shared" si="36"/>
        <v>-54760.490496474013</v>
      </c>
      <c r="J34" s="515">
        <f t="shared" si="36"/>
        <v>-99125.002442225654</v>
      </c>
      <c r="K34" s="515">
        <f t="shared" si="36"/>
        <v>-160341.98780574705</v>
      </c>
      <c r="L34" s="515">
        <f t="shared" si="36"/>
        <v>-180879.32888963772</v>
      </c>
      <c r="M34" s="515">
        <f t="shared" si="36"/>
        <v>-171334.57650389639</v>
      </c>
      <c r="N34" s="515">
        <f t="shared" si="36"/>
        <v>-136903.76002104819</v>
      </c>
      <c r="O34" s="515">
        <f t="shared" si="36"/>
        <v>-97561.821487132271</v>
      </c>
      <c r="P34" s="515">
        <f t="shared" si="36"/>
        <v>-56804.573605778845</v>
      </c>
      <c r="Q34" s="515">
        <f t="shared" si="36"/>
        <v>-16047.32572442542</v>
      </c>
      <c r="R34" s="515">
        <f t="shared" si="36"/>
        <v>24709.922156928005</v>
      </c>
      <c r="S34" s="515">
        <f t="shared" si="36"/>
        <v>65467.170038281431</v>
      </c>
      <c r="T34" s="515">
        <f t="shared" si="36"/>
        <v>106224.41791963486</v>
      </c>
      <c r="U34" s="515">
        <f t="shared" si="36"/>
        <v>146981.66580098827</v>
      </c>
      <c r="V34" s="515">
        <f t="shared" si="36"/>
        <v>187738.91368234169</v>
      </c>
      <c r="W34" s="515">
        <f t="shared" si="36"/>
        <v>228496.16156369512</v>
      </c>
      <c r="X34" s="515">
        <f t="shared" si="36"/>
        <v>269253.40944504854</v>
      </c>
      <c r="Y34" s="515">
        <f t="shared" si="36"/>
        <v>310010.65732640197</v>
      </c>
      <c r="Z34" s="515">
        <f t="shared" si="36"/>
        <v>350767.90520775539</v>
      </c>
      <c r="AA34" s="515">
        <f t="shared" si="36"/>
        <v>391525.15308910882</v>
      </c>
      <c r="AB34" s="515">
        <f t="shared" si="36"/>
        <v>432282.40097046224</v>
      </c>
      <c r="AC34" s="515">
        <f t="shared" si="36"/>
        <v>473039.64885181567</v>
      </c>
      <c r="AD34" s="515">
        <f t="shared" ref="AD34" si="37">AC34+AD33</f>
        <v>513796.89673316909</v>
      </c>
      <c r="AE34" s="515">
        <f t="shared" ref="AE34" si="38">AD34+AE33</f>
        <v>554554.14461452258</v>
      </c>
      <c r="AF34" s="515">
        <f t="shared" ref="AF34" si="39">AE34+AF33</f>
        <v>595311.39249587595</v>
      </c>
      <c r="AG34" s="515">
        <f t="shared" ref="AG34" si="40">AF34+AG33</f>
        <v>636068.64037722931</v>
      </c>
      <c r="AH34" s="515">
        <f t="shared" ref="AH34" si="41">AG34+AH33</f>
        <v>676825.88825858268</v>
      </c>
      <c r="AI34" s="515">
        <f t="shared" ref="AI34" si="42">AH34+AI33</f>
        <v>717583.13613993605</v>
      </c>
      <c r="AJ34" s="515">
        <f t="shared" ref="AJ34" si="43">AI34+AJ33</f>
        <v>758340.38402128941</v>
      </c>
      <c r="AK34" s="515"/>
    </row>
    <row r="35" spans="1:38" ht="15" customHeight="1" outlineLevel="1">
      <c r="E35" s="515"/>
      <c r="F35" s="515">
        <f>IF(F34&lt;0,1,0)</f>
        <v>0</v>
      </c>
      <c r="G35" s="515">
        <f t="shared" ref="G35:AJ35" si="44">IF(G34&lt;0,1,0)</f>
        <v>1</v>
      </c>
      <c r="H35" s="515">
        <f t="shared" si="44"/>
        <v>1</v>
      </c>
      <c r="I35" s="515">
        <f t="shared" si="44"/>
        <v>1</v>
      </c>
      <c r="J35" s="515">
        <f t="shared" si="44"/>
        <v>1</v>
      </c>
      <c r="K35" s="515">
        <f t="shared" si="44"/>
        <v>1</v>
      </c>
      <c r="L35" s="515">
        <f t="shared" si="44"/>
        <v>1</v>
      </c>
      <c r="M35" s="515">
        <f t="shared" si="44"/>
        <v>1</v>
      </c>
      <c r="N35" s="515">
        <f t="shared" si="44"/>
        <v>1</v>
      </c>
      <c r="O35" s="515">
        <f t="shared" si="44"/>
        <v>1</v>
      </c>
      <c r="P35" s="515">
        <f t="shared" si="44"/>
        <v>1</v>
      </c>
      <c r="Q35" s="515">
        <f t="shared" si="44"/>
        <v>1</v>
      </c>
      <c r="R35" s="515">
        <f t="shared" si="44"/>
        <v>0</v>
      </c>
      <c r="S35" s="515">
        <f t="shared" si="44"/>
        <v>0</v>
      </c>
      <c r="T35" s="515">
        <f t="shared" si="44"/>
        <v>0</v>
      </c>
      <c r="U35" s="515">
        <f t="shared" si="44"/>
        <v>0</v>
      </c>
      <c r="V35" s="515">
        <f t="shared" si="44"/>
        <v>0</v>
      </c>
      <c r="W35" s="515">
        <f t="shared" si="44"/>
        <v>0</v>
      </c>
      <c r="X35" s="515">
        <f t="shared" si="44"/>
        <v>0</v>
      </c>
      <c r="Y35" s="515">
        <f t="shared" si="44"/>
        <v>0</v>
      </c>
      <c r="Z35" s="515">
        <f t="shared" si="44"/>
        <v>0</v>
      </c>
      <c r="AA35" s="515">
        <f t="shared" si="44"/>
        <v>0</v>
      </c>
      <c r="AB35" s="515">
        <f t="shared" si="44"/>
        <v>0</v>
      </c>
      <c r="AC35" s="515">
        <f t="shared" si="44"/>
        <v>0</v>
      </c>
      <c r="AD35" s="515">
        <f t="shared" si="44"/>
        <v>0</v>
      </c>
      <c r="AE35" s="515">
        <f t="shared" si="44"/>
        <v>0</v>
      </c>
      <c r="AF35" s="515">
        <f t="shared" si="44"/>
        <v>0</v>
      </c>
      <c r="AG35" s="515">
        <f t="shared" si="44"/>
        <v>0</v>
      </c>
      <c r="AH35" s="515">
        <f t="shared" si="44"/>
        <v>0</v>
      </c>
      <c r="AI35" s="515">
        <f t="shared" si="44"/>
        <v>0</v>
      </c>
      <c r="AJ35" s="515">
        <f t="shared" si="44"/>
        <v>0</v>
      </c>
      <c r="AK35" s="515"/>
    </row>
    <row r="36" spans="1:38" ht="15" customHeight="1" outlineLevel="1">
      <c r="E36" s="515"/>
      <c r="F36" s="515"/>
      <c r="G36" s="515"/>
      <c r="H36" s="515"/>
      <c r="I36" s="515"/>
      <c r="J36" s="515"/>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row>
    <row r="37" spans="1:38" ht="15" customHeight="1" outlineLevel="1">
      <c r="B37" s="11" t="s">
        <v>137</v>
      </c>
      <c r="C37" s="11" t="s">
        <v>21</v>
      </c>
      <c r="E37" s="515"/>
      <c r="F37" s="515">
        <f>F33*'Premissas e Cálculos'!$D$38</f>
        <v>0</v>
      </c>
      <c r="G37" s="515">
        <f>G33*'Premissas e Cálculos'!$D$38</f>
        <v>-11020.645425671843</v>
      </c>
      <c r="H37" s="515">
        <f>H33*'Premissas e Cálculos'!$D$38</f>
        <v>-11296.161561313638</v>
      </c>
      <c r="I37" s="515">
        <f>I33*'Premissas e Cálculos'!$D$38</f>
        <v>412.61078839587594</v>
      </c>
      <c r="J37" s="515">
        <f>J33*'Premissas e Cálculos'!$D$38</f>
        <v>-17745.804778300659</v>
      </c>
      <c r="K37" s="515">
        <f>K33*'Premissas e Cálculos'!$D$38</f>
        <v>-24486.794145408559</v>
      </c>
      <c r="L37" s="515">
        <f>L33*'Premissas e Cálculos'!$D$38</f>
        <v>-8214.9364335562641</v>
      </c>
      <c r="M37" s="515">
        <f>M33*'Premissas e Cálculos'!$D$38</f>
        <v>3817.9009542965377</v>
      </c>
      <c r="N37" s="515">
        <f>N33*'Premissas e Cálculos'!$D$38</f>
        <v>13772.326593139285</v>
      </c>
      <c r="O37" s="515">
        <f>O33*'Premissas e Cálculos'!$D$38</f>
        <v>15736.775413566369</v>
      </c>
      <c r="P37" s="515">
        <f>P33*'Premissas e Cálculos'!$D$38</f>
        <v>16302.899152541371</v>
      </c>
      <c r="Q37" s="515">
        <f>Q33*'Premissas e Cálculos'!$D$38</f>
        <v>16302.899152541371</v>
      </c>
      <c r="R37" s="515">
        <f>R33*'Premissas e Cálculos'!$D$38</f>
        <v>16302.899152541371</v>
      </c>
      <c r="S37" s="515">
        <f>S33*'Premissas e Cálculos'!$D$38</f>
        <v>16302.899152541371</v>
      </c>
      <c r="T37" s="515">
        <f>T33*'Premissas e Cálculos'!$D$38</f>
        <v>16302.899152541371</v>
      </c>
      <c r="U37" s="515">
        <f>U33*'Premissas e Cálculos'!$D$38</f>
        <v>16302.899152541371</v>
      </c>
      <c r="V37" s="515">
        <f>V33*'Premissas e Cálculos'!$D$38</f>
        <v>16302.899152541371</v>
      </c>
      <c r="W37" s="515">
        <f>W33*'Premissas e Cálculos'!$D$38</f>
        <v>16302.899152541371</v>
      </c>
      <c r="X37" s="515">
        <f>X33*'Premissas e Cálculos'!$D$38</f>
        <v>16302.899152541371</v>
      </c>
      <c r="Y37" s="515">
        <f>Y33*'Premissas e Cálculos'!$D$38</f>
        <v>16302.899152541371</v>
      </c>
      <c r="Z37" s="515">
        <f>Z33*'Premissas e Cálculos'!$D$38</f>
        <v>16302.899152541371</v>
      </c>
      <c r="AA37" s="515">
        <f>AA33*'Premissas e Cálculos'!$D$38</f>
        <v>16302.899152541371</v>
      </c>
      <c r="AB37" s="515">
        <f>AB33*'Premissas e Cálculos'!$D$38</f>
        <v>16302.899152541371</v>
      </c>
      <c r="AC37" s="515">
        <f>AC33*'Premissas e Cálculos'!$D$38</f>
        <v>16302.899152541371</v>
      </c>
      <c r="AD37" s="515">
        <f>AD33*'Premissas e Cálculos'!$D$38</f>
        <v>16302.899152541371</v>
      </c>
      <c r="AE37" s="515">
        <f>AE33*'Premissas e Cálculos'!$D$38</f>
        <v>16302.899152541371</v>
      </c>
      <c r="AF37" s="515">
        <f>AF33*'Premissas e Cálculos'!$D$38</f>
        <v>16302.899152541371</v>
      </c>
      <c r="AG37" s="515">
        <f>AG33*'Premissas e Cálculos'!$D$38</f>
        <v>16302.899152541371</v>
      </c>
      <c r="AH37" s="515">
        <f>AH33*'Premissas e Cálculos'!$D$38</f>
        <v>16302.899152541371</v>
      </c>
      <c r="AI37" s="515">
        <f>AI33*'Premissas e Cálculos'!$D$38</f>
        <v>16302.899152541371</v>
      </c>
      <c r="AJ37" s="515">
        <f>AJ33*'Premissas e Cálculos'!$D$38</f>
        <v>16302.899152541371</v>
      </c>
      <c r="AK37" s="515"/>
    </row>
    <row r="38" spans="1:38" ht="15" customHeight="1">
      <c r="B38" s="11" t="s">
        <v>355</v>
      </c>
      <c r="C38" s="11" t="s">
        <v>21</v>
      </c>
      <c r="D38" s="515"/>
      <c r="E38" s="515"/>
      <c r="F38" s="515">
        <f>F33*'Premissas e Cálculos'!$D$39</f>
        <v>0</v>
      </c>
      <c r="G38" s="515">
        <f>G33*'Premissas e Cálculos'!$D$39</f>
        <v>-16530.968138507764</v>
      </c>
      <c r="H38" s="515">
        <f>H33*'Premissas e Cálculos'!$D$39</f>
        <v>-16944.242341970457</v>
      </c>
      <c r="I38" s="515">
        <f>I33*'Premissas e Cálculos'!$D$39</f>
        <v>618.9161825938138</v>
      </c>
      <c r="J38" s="515">
        <f>J33*'Premissas e Cálculos'!$D$39</f>
        <v>-26618.707167450983</v>
      </c>
      <c r="K38" s="515">
        <f>K33*'Premissas e Cálculos'!$D$39</f>
        <v>-36730.191218112835</v>
      </c>
      <c r="L38" s="515">
        <f>L33*'Premissas e Cálculos'!$D$39</f>
        <v>-12322.404650334396</v>
      </c>
      <c r="M38" s="515">
        <f>M33*'Premissas e Cálculos'!$D$39</f>
        <v>5726.8514314448057</v>
      </c>
      <c r="N38" s="515">
        <f>N33*'Premissas e Cálculos'!$D$39</f>
        <v>20658.489889708926</v>
      </c>
      <c r="O38" s="515">
        <f>O33*'Premissas e Cálculos'!$D$39</f>
        <v>23605.163120349553</v>
      </c>
      <c r="P38" s="515">
        <f>P33*'Premissas e Cálculos'!$D$39</f>
        <v>24454.348728812056</v>
      </c>
      <c r="Q38" s="515">
        <f>Q33*'Premissas e Cálculos'!$D$39</f>
        <v>24454.348728812056</v>
      </c>
      <c r="R38" s="515">
        <f>R33*'Premissas e Cálculos'!$D$39</f>
        <v>24454.348728812056</v>
      </c>
      <c r="S38" s="515">
        <f>S33*'Premissas e Cálculos'!$D$39</f>
        <v>24454.348728812056</v>
      </c>
      <c r="T38" s="515">
        <f>T33*'Premissas e Cálculos'!$D$39</f>
        <v>24454.348728812056</v>
      </c>
      <c r="U38" s="515">
        <f>U33*'Premissas e Cálculos'!$D$39</f>
        <v>24454.348728812056</v>
      </c>
      <c r="V38" s="515">
        <f>V33*'Premissas e Cálculos'!$D$39</f>
        <v>24454.348728812056</v>
      </c>
      <c r="W38" s="515">
        <f>W33*'Premissas e Cálculos'!$D$39</f>
        <v>24454.348728812056</v>
      </c>
      <c r="X38" s="515">
        <f>X33*'Premissas e Cálculos'!$D$39</f>
        <v>24454.348728812056</v>
      </c>
      <c r="Y38" s="515">
        <f>Y33*'Premissas e Cálculos'!$D$39</f>
        <v>24454.348728812056</v>
      </c>
      <c r="Z38" s="515">
        <f>Z33*'Premissas e Cálculos'!$D$39</f>
        <v>24454.348728812056</v>
      </c>
      <c r="AA38" s="515">
        <f>AA33*'Premissas e Cálculos'!$D$39</f>
        <v>24454.348728812056</v>
      </c>
      <c r="AB38" s="515">
        <f>AB33*'Premissas e Cálculos'!$D$39</f>
        <v>24454.348728812056</v>
      </c>
      <c r="AC38" s="515">
        <f>AC33*'Premissas e Cálculos'!$D$39</f>
        <v>24454.348728812056</v>
      </c>
      <c r="AD38" s="515">
        <f>AD33*'Premissas e Cálculos'!$D$39</f>
        <v>24454.348728812056</v>
      </c>
      <c r="AE38" s="515">
        <f>AE33*'Premissas e Cálculos'!$D$39</f>
        <v>24454.348728812056</v>
      </c>
      <c r="AF38" s="515">
        <f>AF33*'Premissas e Cálculos'!$D$39</f>
        <v>24454.348728812056</v>
      </c>
      <c r="AG38" s="515">
        <f>AG33*'Premissas e Cálculos'!$D$39</f>
        <v>24454.348728812056</v>
      </c>
      <c r="AH38" s="515">
        <f>AH33*'Premissas e Cálculos'!$D$39</f>
        <v>24454.348728812056</v>
      </c>
      <c r="AI38" s="515">
        <f>AI33*'Premissas e Cálculos'!$D$39</f>
        <v>24454.348728812056</v>
      </c>
      <c r="AJ38" s="515">
        <f>AJ33*'Premissas e Cálculos'!$D$39</f>
        <v>24454.348728812056</v>
      </c>
    </row>
    <row r="39" spans="1:38" ht="12.75">
      <c r="D39" s="515"/>
      <c r="E39" s="515"/>
      <c r="F39" s="515"/>
      <c r="G39" s="515"/>
      <c r="H39" s="515"/>
      <c r="I39" s="515"/>
      <c r="J39" s="515"/>
      <c r="K39" s="515"/>
      <c r="L39" s="515"/>
      <c r="M39" s="515"/>
      <c r="N39" s="515"/>
      <c r="O39" s="515"/>
      <c r="P39" s="515"/>
      <c r="Q39" s="515"/>
      <c r="R39" s="515"/>
      <c r="S39" s="515"/>
      <c r="T39" s="515"/>
      <c r="U39" s="515"/>
      <c r="V39" s="515"/>
      <c r="W39" s="515"/>
      <c r="X39" s="515"/>
      <c r="Y39" s="515"/>
      <c r="Z39" s="515"/>
      <c r="AA39" s="515"/>
      <c r="AB39" s="515"/>
      <c r="AC39" s="515"/>
      <c r="AD39" s="515"/>
      <c r="AE39" s="515"/>
      <c r="AF39" s="515"/>
      <c r="AG39" s="515"/>
      <c r="AH39" s="515"/>
      <c r="AI39" s="515"/>
      <c r="AJ39" s="515"/>
    </row>
    <row r="40" spans="1:38" ht="12.75">
      <c r="A40" s="510"/>
      <c r="B40" s="510" t="s">
        <v>140</v>
      </c>
      <c r="C40" s="511"/>
      <c r="D40" s="512"/>
      <c r="E40" s="512"/>
      <c r="F40" s="512"/>
      <c r="G40" s="510"/>
      <c r="H40" s="510"/>
      <c r="I40" s="510"/>
      <c r="J40" s="510"/>
      <c r="K40" s="510"/>
      <c r="L40" s="510"/>
      <c r="M40" s="510"/>
      <c r="N40" s="510"/>
      <c r="O40" s="510"/>
      <c r="P40" s="510"/>
      <c r="Q40" s="510"/>
      <c r="R40" s="510"/>
      <c r="S40" s="510"/>
      <c r="T40" s="510"/>
      <c r="U40" s="510"/>
      <c r="V40" s="510"/>
      <c r="W40" s="510"/>
      <c r="X40" s="510"/>
      <c r="Y40" s="510"/>
      <c r="Z40" s="510"/>
      <c r="AA40" s="510"/>
      <c r="AB40" s="510"/>
      <c r="AC40" s="510"/>
      <c r="AD40" s="510"/>
      <c r="AE40" s="510"/>
      <c r="AF40" s="510"/>
      <c r="AG40" s="510"/>
      <c r="AH40" s="510"/>
      <c r="AI40" s="510"/>
      <c r="AJ40" s="510"/>
      <c r="AK40" s="510"/>
      <c r="AL40" s="510"/>
    </row>
    <row r="41" spans="1:38" ht="12.75" outlineLevel="1">
      <c r="B41" s="11" t="s">
        <v>40</v>
      </c>
      <c r="C41" s="129" t="s">
        <v>21</v>
      </c>
      <c r="D41" s="531">
        <f>F33+NPV('Premissas e Cálculos'!$D$35,G33:AK33)</f>
        <v>154820.27245697155</v>
      </c>
      <c r="E41" s="531"/>
      <c r="F41" s="531"/>
    </row>
    <row r="42" spans="1:38" ht="12.75" outlineLevel="1">
      <c r="B42" s="11" t="s">
        <v>41</v>
      </c>
      <c r="C42" s="129" t="s">
        <v>42</v>
      </c>
      <c r="D42" s="532">
        <f>IFERROR(IRR(F33:XFD33),0)</f>
        <v>0.14668182050330203</v>
      </c>
      <c r="E42" s="532"/>
      <c r="F42" s="532"/>
    </row>
    <row r="43" spans="1:38" ht="12.75" outlineLevel="1">
      <c r="B43" s="11" t="s">
        <v>43</v>
      </c>
      <c r="C43" s="129" t="s">
        <v>3</v>
      </c>
      <c r="D43" s="533">
        <f>IFERROR(E13/E11,"-")</f>
        <v>0.70088823927974608</v>
      </c>
      <c r="E43" s="533"/>
      <c r="F43" s="23"/>
      <c r="O43" s="534"/>
    </row>
    <row r="44" spans="1:38" ht="12.75" outlineLevel="1">
      <c r="B44" s="11" t="s">
        <v>44</v>
      </c>
      <c r="C44" s="129" t="s">
        <v>3</v>
      </c>
      <c r="D44" s="533">
        <f>IFERROR(E18/E11,"-")</f>
        <v>0.49191218611772231</v>
      </c>
      <c r="E44" s="533"/>
      <c r="F44" s="23"/>
    </row>
    <row r="45" spans="1:38" ht="12.75" outlineLevel="1">
      <c r="B45" s="11" t="s">
        <v>45</v>
      </c>
      <c r="C45" s="129" t="s">
        <v>21</v>
      </c>
      <c r="D45" s="531">
        <f>MIN(F34:AJ34)</f>
        <v>-180879.32888963772</v>
      </c>
      <c r="E45" s="531"/>
      <c r="F45" s="23"/>
    </row>
    <row r="46" spans="1:38" ht="12.75" outlineLevel="1">
      <c r="B46" s="11" t="s">
        <v>138</v>
      </c>
      <c r="C46" s="129" t="s">
        <v>139</v>
      </c>
      <c r="D46" s="535">
        <f>SUM(F35:AJ35)</f>
        <v>11</v>
      </c>
      <c r="E46" s="531"/>
    </row>
    <row r="47" spans="1:38" ht="12.75" outlineLevel="1">
      <c r="A47" s="63"/>
      <c r="D47" s="532"/>
      <c r="E47" s="532"/>
      <c r="F47" s="534"/>
      <c r="G47" s="534"/>
      <c r="H47" s="534"/>
      <c r="I47" s="534"/>
      <c r="J47" s="534"/>
      <c r="K47" s="534"/>
      <c r="L47" s="534"/>
      <c r="M47" s="534"/>
      <c r="N47" s="534"/>
      <c r="O47" s="534"/>
      <c r="P47" s="534"/>
      <c r="Q47" s="534"/>
      <c r="R47" s="534"/>
      <c r="S47" s="534"/>
      <c r="T47" s="534"/>
      <c r="U47" s="534"/>
      <c r="V47" s="534"/>
      <c r="W47" s="534"/>
      <c r="X47" s="534"/>
      <c r="Y47" s="534"/>
      <c r="Z47" s="534"/>
      <c r="AA47" s="534"/>
      <c r="AB47" s="534"/>
      <c r="AC47" s="534"/>
      <c r="AD47" s="534"/>
      <c r="AE47" s="534"/>
      <c r="AF47" s="534"/>
      <c r="AG47" s="534"/>
      <c r="AH47" s="534"/>
      <c r="AI47" s="534"/>
      <c r="AJ47" s="534"/>
    </row>
    <row r="48" spans="1:38" ht="12.75">
      <c r="D48" s="515"/>
      <c r="E48" s="515"/>
      <c r="F48" s="515"/>
      <c r="G48" s="515"/>
      <c r="H48" s="515"/>
      <c r="I48" s="515"/>
      <c r="J48" s="515"/>
      <c r="K48" s="515"/>
      <c r="L48" s="515"/>
      <c r="M48" s="515"/>
      <c r="N48" s="515"/>
      <c r="O48" s="515"/>
      <c r="P48" s="515"/>
      <c r="Q48" s="515"/>
      <c r="R48" s="515"/>
      <c r="S48" s="515"/>
      <c r="T48" s="515"/>
      <c r="U48" s="515"/>
      <c r="V48" s="515"/>
      <c r="W48" s="515"/>
      <c r="X48" s="515"/>
      <c r="Y48" s="515"/>
      <c r="Z48" s="515"/>
      <c r="AA48" s="515"/>
      <c r="AB48" s="515"/>
      <c r="AC48" s="515"/>
      <c r="AD48" s="515"/>
      <c r="AE48" s="515"/>
      <c r="AF48" s="515"/>
      <c r="AG48" s="515"/>
      <c r="AH48" s="515"/>
      <c r="AI48" s="515"/>
      <c r="AJ48" s="515"/>
    </row>
    <row r="49" spans="3:3" ht="12.95" customHeight="1"/>
    <row r="50" spans="3:3" ht="12.95" customHeight="1"/>
    <row r="51" spans="3:3" ht="12.95" customHeight="1"/>
    <row r="52" spans="3:3" ht="12.95" customHeight="1"/>
    <row r="53" spans="3:3" ht="12.95" customHeight="1"/>
    <row r="54" spans="3:3" ht="12.95" customHeight="1"/>
    <row r="55" spans="3:3" ht="12.95" customHeight="1"/>
    <row r="56" spans="3:3" ht="12.95" customHeight="1"/>
    <row r="57" spans="3:3" ht="12.95" customHeight="1"/>
    <row r="58" spans="3:3" ht="12.95" customHeight="1"/>
    <row r="59" spans="3:3" ht="12.95" customHeight="1"/>
    <row r="60" spans="3:3" ht="12.95" customHeight="1"/>
    <row r="61" spans="3:3" ht="12.95" customHeight="1"/>
    <row r="62" spans="3:3" ht="12.95" customHeight="1"/>
    <row r="63" spans="3:3" ht="12.95" customHeight="1"/>
    <row r="64" spans="3:3" s="210" customFormat="1" ht="12.95" customHeight="1">
      <c r="C64" s="221"/>
    </row>
    <row r="65" spans="3:3" s="210" customFormat="1" ht="12.95" customHeight="1">
      <c r="C65" s="221"/>
    </row>
    <row r="66" spans="3:3" s="210" customFormat="1" ht="12.95" customHeight="1">
      <c r="C66" s="221"/>
    </row>
    <row r="67" spans="3:3" s="210" customFormat="1" ht="12.95" customHeight="1">
      <c r="C67" s="221"/>
    </row>
    <row r="68" spans="3:3" s="210" customFormat="1" ht="12.95" customHeight="1">
      <c r="C68" s="221"/>
    </row>
    <row r="69" spans="3:3" s="210" customFormat="1" ht="12.95" customHeight="1">
      <c r="C69" s="221"/>
    </row>
    <row r="70" spans="3:3" s="210" customFormat="1" ht="12.95" customHeight="1">
      <c r="C70" s="221"/>
    </row>
    <row r="71" spans="3:3" s="210" customFormat="1" ht="12.95" customHeight="1">
      <c r="C71" s="221"/>
    </row>
    <row r="72" spans="3:3" s="210" customFormat="1" ht="12.95" customHeight="1">
      <c r="C72" s="221"/>
    </row>
    <row r="73" spans="3:3" s="210" customFormat="1" ht="12.95" customHeight="1">
      <c r="C73" s="221"/>
    </row>
    <row r="74" spans="3:3" s="210" customFormat="1" ht="12.95" customHeight="1">
      <c r="C74" s="221"/>
    </row>
    <row r="75" spans="3:3" s="210" customFormat="1" ht="12.95" customHeight="1">
      <c r="C75" s="221"/>
    </row>
    <row r="76" spans="3:3" s="210" customFormat="1" ht="12.95" customHeight="1">
      <c r="C76" s="221"/>
    </row>
    <row r="77" spans="3:3" s="210" customFormat="1" ht="12.95" customHeight="1">
      <c r="C77" s="221"/>
    </row>
    <row r="78" spans="3:3" s="210" customFormat="1" ht="12.95" customHeight="1">
      <c r="C78" s="221"/>
    </row>
    <row r="79" spans="3:3" s="210" customFormat="1" ht="12.95" customHeight="1">
      <c r="C79" s="221"/>
    </row>
    <row r="80" spans="3:3" s="210" customFormat="1" ht="12.95" customHeight="1">
      <c r="C80" s="221"/>
    </row>
    <row r="81" spans="3:3" s="210" customFormat="1" ht="12.95" customHeight="1">
      <c r="C81" s="221"/>
    </row>
    <row r="82" spans="3:3" s="210" customFormat="1" ht="12.95" customHeight="1">
      <c r="C82" s="221"/>
    </row>
    <row r="83" spans="3:3" s="210" customFormat="1" ht="12.95" customHeight="1">
      <c r="C83" s="221"/>
    </row>
    <row r="84" spans="3:3" s="210" customFormat="1" ht="12.95" customHeight="1">
      <c r="C84" s="221"/>
    </row>
    <row r="85" spans="3:3" s="210" customFormat="1" ht="12.95" customHeight="1">
      <c r="C85" s="221"/>
    </row>
    <row r="86" spans="3:3" s="210" customFormat="1" ht="12.95" customHeight="1">
      <c r="C86" s="221"/>
    </row>
    <row r="87" spans="3:3" s="210" customFormat="1" ht="12.95" customHeight="1">
      <c r="C87" s="221"/>
    </row>
    <row r="88" spans="3:3" s="210" customFormat="1" ht="12.95" customHeight="1">
      <c r="C88" s="221"/>
    </row>
    <row r="89" spans="3:3" s="210" customFormat="1" ht="12.95" customHeight="1">
      <c r="C89" s="221"/>
    </row>
    <row r="90" spans="3:3" s="210" customFormat="1" ht="12.95" customHeight="1">
      <c r="C90" s="221"/>
    </row>
    <row r="91" spans="3:3" s="210" customFormat="1" ht="12.95" customHeight="1">
      <c r="C91" s="221"/>
    </row>
    <row r="92" spans="3:3" s="210" customFormat="1" ht="12.95" customHeight="1">
      <c r="C92" s="221"/>
    </row>
    <row r="93" spans="3:3" s="210" customFormat="1" ht="12.95" customHeight="1">
      <c r="C93" s="221"/>
    </row>
    <row r="94" spans="3:3" s="210" customFormat="1" ht="12.95" customHeight="1">
      <c r="C94" s="221"/>
    </row>
    <row r="95" spans="3:3" s="210" customFormat="1" ht="12.95" customHeight="1">
      <c r="C95" s="221"/>
    </row>
    <row r="96" spans="3:3" s="210" customFormat="1" ht="12.95" customHeight="1">
      <c r="C96" s="221"/>
    </row>
    <row r="97" spans="3:3" s="210" customFormat="1" ht="12.95" customHeight="1">
      <c r="C97" s="221"/>
    </row>
    <row r="98" spans="3:3" ht="12.95" customHeight="1"/>
    <row r="99" spans="3:3" ht="12.95" customHeight="1"/>
    <row r="100" spans="3:3" ht="12.95" customHeight="1"/>
    <row r="101" spans="3:3" ht="12.95" customHeight="1"/>
    <row r="102" spans="3:3" ht="12.95" customHeight="1"/>
    <row r="103" spans="3:3" ht="12.95" customHeight="1"/>
    <row r="104" spans="3:3" ht="12.95" customHeight="1"/>
    <row r="105" spans="3:3" ht="12.95" customHeight="1"/>
    <row r="106" spans="3:3" ht="12.95" customHeight="1"/>
    <row r="107" spans="3:3" ht="12.95" customHeight="1"/>
    <row r="108" spans="3:3" ht="12.95" customHeight="1"/>
    <row r="109" spans="3:3" ht="12.95" customHeight="1"/>
    <row r="110" spans="3:3" ht="12.95" customHeight="1"/>
    <row r="111" spans="3:3" ht="12.95" customHeight="1"/>
    <row r="112" spans="3:3" ht="12.95" customHeight="1"/>
    <row r="113" ht="12.95" customHeight="1"/>
    <row r="114" ht="12.95" customHeight="1"/>
    <row r="115" ht="12.95" customHeight="1"/>
    <row r="116" ht="12.95" customHeight="1"/>
    <row r="117" ht="12.95" customHeight="1"/>
    <row r="118" ht="12.95" customHeight="1"/>
    <row r="119" ht="12.95" customHeight="1"/>
    <row r="120" ht="12.95" customHeight="1"/>
    <row r="121" ht="12.95" customHeight="1"/>
    <row r="122" ht="12.95" customHeight="1"/>
    <row r="123" ht="12.95" customHeight="1"/>
    <row r="124" ht="12.95" customHeight="1"/>
    <row r="125" ht="12.95" customHeight="1"/>
    <row r="126" ht="12.95" customHeight="1"/>
    <row r="127" ht="12.95" customHeight="1"/>
    <row r="128" ht="12.95" customHeight="1"/>
    <row r="129" ht="12.95" customHeight="1"/>
    <row r="130" ht="12.95" customHeight="1"/>
    <row r="131" ht="12.95" customHeight="1"/>
    <row r="132" ht="12.95" customHeight="1"/>
    <row r="133" ht="12.95" customHeight="1"/>
    <row r="134" ht="12.95" customHeight="1"/>
    <row r="135" ht="12.95" customHeight="1"/>
    <row r="136" ht="12.95" customHeight="1"/>
    <row r="137" ht="12.95" customHeight="1"/>
    <row r="138" ht="12.95" customHeight="1"/>
    <row r="139" ht="12.95" customHeight="1"/>
    <row r="140" ht="12.95" customHeight="1"/>
    <row r="141" ht="12.95" customHeight="1"/>
    <row r="142" ht="12.95" customHeight="1"/>
    <row r="143" ht="12.95" customHeight="1"/>
    <row r="144" ht="12.95" customHeight="1"/>
    <row r="145" ht="12.95" customHeight="1"/>
    <row r="146" ht="12.95" customHeight="1"/>
    <row r="147" ht="12.95" customHeight="1"/>
    <row r="148" ht="12.95" customHeight="1"/>
    <row r="149" ht="12.95" customHeight="1"/>
    <row r="150" ht="12.95" customHeight="1"/>
    <row r="151" ht="12.95" customHeight="1"/>
    <row r="152" ht="12.95" customHeight="1"/>
    <row r="153" ht="12.95" customHeight="1"/>
    <row r="154" ht="12.95" customHeight="1"/>
    <row r="155" ht="12.95" customHeight="1"/>
    <row r="156" ht="12.95" customHeight="1"/>
    <row r="157" ht="12.95" customHeight="1"/>
    <row r="158" ht="12.95" customHeight="1"/>
    <row r="159" ht="12.95" customHeight="1"/>
    <row r="160" ht="12.95" customHeight="1"/>
    <row r="161" ht="12.95" customHeight="1"/>
    <row r="162" ht="12.95" customHeight="1"/>
    <row r="163" ht="12.95" customHeight="1"/>
    <row r="164" ht="12.95" customHeight="1"/>
    <row r="165" ht="12.95" customHeight="1"/>
    <row r="166" ht="12.95" customHeight="1"/>
    <row r="167" ht="12.95" customHeight="1"/>
    <row r="168" ht="12.95" customHeight="1"/>
    <row r="169" ht="12.95" customHeight="1"/>
    <row r="170" ht="12.95" customHeight="1"/>
    <row r="171" ht="12.95" customHeight="1"/>
    <row r="172" ht="12.95" customHeight="1"/>
    <row r="173" ht="12.95" customHeight="1"/>
    <row r="174" ht="12.95" customHeight="1"/>
    <row r="175" ht="12.95" customHeight="1"/>
    <row r="176" ht="12.95" customHeight="1"/>
    <row r="177" ht="12.95" customHeight="1"/>
    <row r="178" ht="12.95" customHeight="1"/>
    <row r="179" ht="12.95" customHeight="1"/>
    <row r="180" ht="12.95" customHeight="1"/>
    <row r="181" ht="12.95" customHeight="1"/>
    <row r="182" ht="12.95" customHeight="1"/>
    <row r="183" ht="12.95" customHeight="1"/>
    <row r="184" ht="12.95" customHeight="1"/>
    <row r="185" ht="12.95" customHeight="1"/>
    <row r="186" ht="12.95" customHeight="1"/>
    <row r="187" ht="12.95" customHeight="1"/>
    <row r="188" ht="12.95" customHeight="1"/>
    <row r="189" ht="12.95" customHeight="1"/>
    <row r="190" ht="12.95" customHeight="1"/>
    <row r="191" ht="12.95" customHeight="1"/>
    <row r="192" ht="12.95" customHeight="1"/>
    <row r="193" ht="12.95" customHeight="1"/>
    <row r="194" ht="12.95" customHeight="1"/>
    <row r="195" ht="12.95" customHeight="1"/>
    <row r="196" ht="12.95" customHeight="1"/>
    <row r="197" ht="12.95" customHeight="1"/>
    <row r="198" ht="12.95" customHeight="1"/>
    <row r="199" ht="12.95" customHeight="1"/>
    <row r="200" ht="12.95" customHeight="1"/>
    <row r="201" ht="12.95" customHeight="1"/>
    <row r="202" ht="12.95" customHeight="1"/>
    <row r="203" ht="12.95" customHeight="1"/>
    <row r="204" ht="12.95" customHeight="1"/>
    <row r="205" ht="12.95" customHeight="1"/>
    <row r="206" ht="12.95" customHeight="1"/>
    <row r="207" ht="12.95" customHeight="1"/>
    <row r="208" ht="12.95" customHeight="1"/>
    <row r="209" ht="12.95" customHeight="1"/>
    <row r="210" ht="12.95" customHeight="1"/>
    <row r="211" ht="12.95" customHeight="1"/>
    <row r="212" ht="12.95" customHeight="1"/>
    <row r="213" ht="12.95" customHeight="1"/>
    <row r="214" ht="12.95" customHeight="1"/>
    <row r="215" ht="12.95" customHeight="1"/>
    <row r="216" ht="12.95" customHeight="1"/>
    <row r="217" ht="12.95" customHeight="1"/>
    <row r="218" ht="12.95" customHeight="1"/>
    <row r="219" ht="12.95" customHeight="1"/>
    <row r="220" ht="12.95" customHeight="1"/>
    <row r="221" ht="12.95" customHeight="1"/>
    <row r="222" ht="12.95" customHeight="1"/>
    <row r="223" ht="12.95" customHeight="1"/>
    <row r="224" ht="12.95" customHeight="1"/>
    <row r="225" ht="12.95" customHeight="1"/>
    <row r="226" ht="12.95" customHeight="1"/>
    <row r="227" ht="12.95" customHeight="1"/>
    <row r="228" ht="12.95" customHeight="1"/>
    <row r="229" ht="12.95" customHeight="1"/>
    <row r="230" ht="12.95" customHeight="1"/>
    <row r="231" ht="12.95" customHeight="1"/>
    <row r="232" ht="12.95" customHeight="1"/>
    <row r="233" ht="12.95" customHeight="1"/>
    <row r="234" ht="12.95" customHeight="1"/>
    <row r="235" ht="12.95" customHeight="1"/>
    <row r="236" ht="12.95" customHeight="1"/>
    <row r="237" ht="12.95" customHeight="1"/>
    <row r="238" ht="12.95" customHeight="1"/>
    <row r="239" ht="12.95" customHeight="1"/>
    <row r="240" ht="12.95" customHeight="1"/>
    <row r="241" ht="12.95" customHeight="1"/>
    <row r="242" ht="12.95" customHeight="1"/>
    <row r="243" ht="12.95" customHeight="1"/>
    <row r="244" ht="12.95" customHeight="1"/>
    <row r="245" ht="12.95" customHeight="1"/>
    <row r="246" ht="12.95" customHeight="1"/>
    <row r="247" ht="12.95" customHeight="1"/>
    <row r="248" ht="12.95" customHeight="1"/>
    <row r="249" ht="12.95" customHeight="1"/>
    <row r="250" ht="12.95" customHeight="1"/>
    <row r="251" ht="12.95" customHeight="1"/>
    <row r="252" ht="12.95" customHeight="1"/>
    <row r="253" ht="12.95" customHeight="1"/>
    <row r="254" ht="12.95" customHeight="1"/>
    <row r="255" ht="12.95" customHeight="1"/>
    <row r="256" ht="12.95" customHeight="1"/>
    <row r="257" ht="12.95" customHeight="1"/>
    <row r="258" ht="12.95" customHeight="1"/>
    <row r="259" ht="12.95" customHeight="1"/>
    <row r="260" ht="12.95" customHeight="1"/>
    <row r="261" ht="12.95" customHeight="1"/>
    <row r="262" ht="12.95" customHeight="1"/>
    <row r="263" ht="12.95" customHeight="1"/>
    <row r="264" ht="12.95" customHeight="1"/>
    <row r="265" ht="12.95" customHeight="1"/>
    <row r="266" ht="12.95" customHeight="1"/>
    <row r="267" ht="12.95" customHeight="1"/>
    <row r="268" ht="12.95" customHeight="1"/>
    <row r="269" ht="12.95" customHeight="1"/>
    <row r="270" ht="12.95" customHeight="1"/>
    <row r="271" ht="12.95" customHeight="1"/>
    <row r="272" ht="12.95" customHeight="1"/>
    <row r="273" ht="12.95" customHeight="1"/>
    <row r="274" ht="12.95" customHeight="1"/>
    <row r="275" ht="12.95" customHeight="1"/>
    <row r="276" ht="12.95" customHeight="1"/>
    <row r="277" ht="12.95" customHeight="1"/>
    <row r="278" ht="12.95" customHeight="1"/>
    <row r="279" ht="12.95" customHeight="1"/>
    <row r="280" ht="12.95" customHeight="1"/>
    <row r="281" ht="12.95" customHeight="1"/>
    <row r="282" ht="12.95" customHeight="1"/>
    <row r="283" ht="12.95" customHeight="1"/>
    <row r="284" ht="12.95" customHeight="1"/>
    <row r="285" ht="12.95" customHeight="1"/>
    <row r="286" ht="12.95" customHeight="1"/>
    <row r="287" ht="12.95" customHeight="1"/>
    <row r="288" ht="12.95" customHeight="1"/>
    <row r="289" ht="12.95" customHeight="1"/>
    <row r="290" ht="12.95" customHeight="1"/>
    <row r="291" ht="12.95" customHeight="1"/>
    <row r="292" ht="12.95" customHeight="1"/>
    <row r="293" ht="12.95" customHeight="1"/>
    <row r="294" ht="12.95" customHeight="1"/>
    <row r="295" ht="12.95" customHeight="1"/>
    <row r="296" ht="12.95" customHeight="1"/>
    <row r="297" ht="12.95" customHeight="1"/>
    <row r="298" ht="12.95" customHeight="1"/>
    <row r="299" ht="12.95" customHeight="1"/>
    <row r="300" ht="12.95" customHeight="1"/>
    <row r="301" ht="12.95" customHeight="1"/>
    <row r="302" ht="12.95" customHeight="1"/>
    <row r="303" ht="12.95" customHeight="1"/>
    <row r="304" ht="12.95" customHeight="1"/>
    <row r="305" ht="12.95" customHeight="1"/>
    <row r="306" ht="12.95" customHeight="1"/>
    <row r="307" ht="12.95" customHeight="1"/>
    <row r="308" ht="12.95" customHeight="1"/>
    <row r="309" ht="12.95" customHeight="1"/>
    <row r="310" ht="12.95" customHeight="1"/>
    <row r="311" ht="12.95" customHeight="1"/>
    <row r="312" ht="12.95" customHeight="1"/>
    <row r="313" ht="12.95" customHeight="1"/>
    <row r="314" ht="12.95" customHeight="1"/>
    <row r="315" ht="12.95" customHeight="1"/>
    <row r="316" ht="12.95" customHeight="1"/>
    <row r="317" ht="12.95" customHeight="1"/>
    <row r="318" ht="12.95" customHeight="1"/>
    <row r="319" ht="12.95" customHeight="1"/>
    <row r="320" ht="12.95" customHeight="1"/>
    <row r="321" ht="12.95" customHeight="1"/>
    <row r="322" ht="12.95" customHeight="1"/>
    <row r="323" ht="12.95" customHeight="1"/>
    <row r="324" ht="12.95" customHeight="1"/>
    <row r="325" ht="12.95" customHeight="1"/>
    <row r="326" ht="12.95" customHeight="1"/>
    <row r="327" ht="12.95" customHeight="1"/>
    <row r="328" ht="12.95" customHeight="1"/>
    <row r="329" ht="12.95" customHeight="1"/>
    <row r="330" ht="12.95" customHeight="1"/>
    <row r="331" ht="12.95" customHeight="1"/>
    <row r="332" ht="12.95" customHeight="1"/>
    <row r="333" ht="12.95" customHeight="1"/>
    <row r="334" ht="12.95" customHeight="1"/>
    <row r="335" ht="12.95" customHeight="1"/>
    <row r="336" ht="12.95" customHeight="1"/>
    <row r="337" ht="12.95" customHeight="1"/>
    <row r="338" ht="12.95" customHeight="1"/>
    <row r="339" ht="12.95" customHeight="1"/>
    <row r="340" ht="12.95" customHeight="1"/>
    <row r="341" ht="12.95" customHeight="1"/>
    <row r="342" ht="12.95" customHeight="1"/>
    <row r="343" ht="12.95" customHeight="1"/>
    <row r="344" ht="12.95" customHeight="1"/>
    <row r="345" ht="12.95" customHeight="1"/>
    <row r="346" ht="12.95" customHeight="1"/>
    <row r="347" ht="12.95" customHeight="1"/>
    <row r="348" ht="12.95" customHeight="1"/>
    <row r="349" ht="12.95" customHeight="1"/>
    <row r="350" ht="12.95" customHeight="1"/>
    <row r="351" ht="12.95" customHeight="1"/>
    <row r="352" ht="12.95" customHeight="1"/>
    <row r="353" ht="12.95" customHeight="1"/>
    <row r="354" ht="12.95" customHeight="1"/>
    <row r="355" ht="12.95" customHeight="1"/>
    <row r="356" ht="12.95" customHeight="1"/>
    <row r="357" ht="12.95" customHeight="1"/>
    <row r="358" ht="12.95" customHeight="1"/>
    <row r="359" ht="12.95" customHeight="1"/>
    <row r="360" ht="12.95" customHeight="1"/>
    <row r="361" ht="12.95" customHeight="1"/>
    <row r="362" ht="12.95" customHeight="1"/>
    <row r="363" ht="12.95" customHeight="1"/>
    <row r="364" ht="12.95" customHeight="1"/>
    <row r="365" ht="12.95" customHeight="1"/>
    <row r="366" ht="12.95" customHeight="1"/>
    <row r="367" ht="12.95" customHeight="1"/>
    <row r="368" ht="12.95" customHeight="1"/>
    <row r="369" ht="12.95" customHeight="1"/>
    <row r="370" ht="12.95" customHeight="1"/>
    <row r="371" ht="12.95" customHeight="1"/>
    <row r="372" ht="12.95" customHeight="1"/>
    <row r="373" ht="12.95" customHeight="1"/>
    <row r="374" ht="12.95" customHeight="1"/>
    <row r="375" ht="12.95" customHeight="1"/>
    <row r="376" ht="12.95" customHeight="1"/>
    <row r="377" ht="12.95" customHeight="1"/>
    <row r="378" ht="12.95" customHeight="1"/>
    <row r="379" ht="12.95" customHeight="1"/>
    <row r="380" ht="12.95" customHeight="1"/>
    <row r="381" ht="12.95" customHeight="1"/>
    <row r="382" ht="12.95" customHeight="1"/>
    <row r="383" ht="12.95" customHeight="1"/>
    <row r="384" ht="12.95" customHeight="1"/>
    <row r="385" ht="12.95" customHeight="1"/>
    <row r="386" ht="12.95" customHeight="1"/>
    <row r="387" ht="12.95" customHeight="1"/>
    <row r="388" ht="12.95" customHeight="1"/>
    <row r="389" ht="12.95" customHeight="1"/>
    <row r="390" ht="12.95" customHeight="1"/>
    <row r="391" ht="12.95" customHeight="1"/>
    <row r="392" ht="12.95" customHeight="1"/>
    <row r="393" ht="12.95" customHeight="1"/>
    <row r="394" ht="12.95" customHeight="1"/>
    <row r="395" ht="12.95" customHeight="1"/>
    <row r="396" ht="12.95" customHeight="1"/>
    <row r="397" ht="12.95" customHeight="1"/>
    <row r="398" ht="12.95" customHeight="1"/>
    <row r="399" ht="12.95" customHeight="1"/>
    <row r="400" ht="12.95" customHeight="1"/>
    <row r="401" ht="12.95" customHeight="1"/>
    <row r="402" ht="12.95" customHeight="1"/>
    <row r="403" ht="12.95" customHeight="1"/>
    <row r="404" ht="12.95" customHeight="1"/>
    <row r="405" ht="12.95" customHeight="1"/>
    <row r="406" ht="12.95" customHeight="1"/>
    <row r="407" ht="12.95" customHeight="1"/>
    <row r="408" ht="12.95" customHeight="1"/>
    <row r="409" ht="12.95" customHeight="1"/>
    <row r="410" ht="12.95" customHeight="1"/>
    <row r="411" ht="12.95" customHeight="1"/>
    <row r="412" ht="12.95" customHeight="1"/>
    <row r="413" ht="12.95" customHeight="1"/>
    <row r="414" ht="12.95" customHeight="1"/>
    <row r="415" ht="12.95" customHeight="1"/>
    <row r="416" ht="12.95" customHeight="1"/>
    <row r="417" ht="12.95" customHeight="1"/>
    <row r="418" ht="12.95" customHeight="1"/>
    <row r="419" ht="12.95" customHeight="1"/>
    <row r="420" ht="12.95" customHeight="1"/>
    <row r="421" ht="12.95" customHeight="1"/>
    <row r="422" ht="12.95" customHeight="1"/>
    <row r="423" ht="12.95" customHeight="1"/>
    <row r="424" ht="12.95" customHeight="1"/>
    <row r="425" ht="12.95" customHeight="1"/>
    <row r="426" ht="12.95" customHeight="1"/>
    <row r="427" ht="12.95" customHeight="1"/>
    <row r="428" ht="12.95" customHeight="1"/>
    <row r="429" ht="12.95" customHeight="1"/>
    <row r="430" ht="12.95" customHeight="1"/>
    <row r="431" ht="12.95" customHeight="1"/>
    <row r="432" ht="12.95" customHeight="1"/>
    <row r="433" ht="12.95" customHeight="1"/>
    <row r="434" ht="12.95" customHeight="1"/>
    <row r="435" ht="12.95" customHeight="1"/>
    <row r="436" ht="12.95" customHeight="1"/>
    <row r="437" ht="12.95" customHeight="1"/>
    <row r="438" ht="12.95" customHeight="1"/>
    <row r="439" ht="12.95" customHeight="1"/>
    <row r="440" ht="12.95" customHeight="1"/>
    <row r="441" ht="12.95" customHeight="1"/>
    <row r="442" ht="12.95" customHeight="1"/>
    <row r="443" ht="12.95" customHeight="1"/>
    <row r="444" ht="12.95" customHeight="1"/>
    <row r="445" ht="12.95" customHeight="1"/>
    <row r="446" ht="12.95" customHeight="1"/>
    <row r="447" ht="12.95" customHeight="1"/>
    <row r="448" ht="12.95" customHeight="1"/>
    <row r="449" ht="12.95" customHeight="1"/>
    <row r="450" ht="12.95" customHeight="1"/>
    <row r="451" ht="12.95" customHeight="1"/>
    <row r="452" ht="12.95" customHeight="1"/>
    <row r="453" ht="12.95" customHeight="1"/>
    <row r="454" ht="12.95" customHeight="1"/>
    <row r="455" ht="12.95" customHeight="1"/>
    <row r="456" ht="12.95" customHeight="1"/>
    <row r="457" ht="12.95" customHeight="1"/>
    <row r="458" ht="12.95" customHeight="1"/>
    <row r="459" ht="12.95" customHeight="1"/>
    <row r="460" ht="12.95" customHeight="1"/>
    <row r="461" ht="12.95" customHeight="1"/>
    <row r="462" ht="12.95" customHeight="1"/>
    <row r="463" ht="12.95" customHeight="1"/>
    <row r="464" ht="12.95" customHeight="1"/>
    <row r="465" ht="12.95" customHeight="1"/>
    <row r="466" ht="12.95" customHeight="1"/>
    <row r="467" ht="12.95" customHeight="1"/>
    <row r="468" ht="12.95" customHeight="1"/>
    <row r="469" ht="12.95" customHeight="1"/>
    <row r="470" ht="12.95" customHeight="1"/>
    <row r="471" ht="12.95" customHeight="1"/>
    <row r="472" ht="12.95" customHeight="1"/>
    <row r="473" ht="12.95" customHeight="1"/>
    <row r="474" ht="12.95" customHeight="1"/>
    <row r="475" ht="12.95" customHeight="1"/>
    <row r="476" ht="12.95" customHeight="1"/>
    <row r="477" ht="12.95" customHeight="1"/>
    <row r="478" ht="12.95" customHeight="1"/>
    <row r="479" ht="12.95" customHeight="1"/>
    <row r="480" ht="12.95" customHeight="1"/>
    <row r="481" ht="12.95" customHeight="1"/>
    <row r="482" ht="12.95" customHeight="1"/>
    <row r="483" ht="12.95" customHeight="1"/>
    <row r="484" ht="12.95" customHeight="1"/>
    <row r="485" ht="12.95" customHeight="1"/>
    <row r="486" ht="12.95" customHeight="1"/>
    <row r="487" ht="12.95" customHeight="1"/>
    <row r="488" ht="12.95" customHeight="1"/>
    <row r="489" ht="12.95" customHeight="1"/>
    <row r="490" ht="12.95" customHeight="1"/>
    <row r="491" ht="12.95" customHeight="1"/>
    <row r="492" ht="12.95" customHeight="1"/>
    <row r="493" ht="12.95" customHeight="1"/>
    <row r="494" ht="12.95" customHeight="1"/>
    <row r="495" ht="12.95" customHeight="1"/>
    <row r="496" ht="12.95" customHeight="1"/>
    <row r="497" ht="12.95" customHeight="1"/>
    <row r="498" ht="12.95" customHeight="1"/>
    <row r="499" ht="12.95" customHeight="1"/>
    <row r="500" ht="12.95" customHeight="1"/>
    <row r="501" ht="12.95" customHeight="1"/>
    <row r="502" ht="12.95" customHeight="1"/>
    <row r="503" ht="12.95" customHeight="1"/>
    <row r="504" ht="12.95" customHeight="1"/>
    <row r="505" ht="12.95" customHeight="1"/>
    <row r="506" ht="12.95" customHeight="1"/>
    <row r="507" ht="12.95" customHeight="1"/>
    <row r="508" ht="12.95" customHeight="1"/>
    <row r="509" ht="12.95" customHeight="1"/>
    <row r="510" ht="12.95" customHeight="1"/>
    <row r="511" ht="12.95" customHeight="1"/>
    <row r="512" ht="12.95" customHeight="1"/>
    <row r="513" ht="12.95" customHeight="1"/>
    <row r="514" ht="12.95" customHeight="1"/>
    <row r="515" ht="12.95" customHeight="1"/>
    <row r="516" ht="12.95" customHeight="1"/>
    <row r="517" ht="12.95" customHeight="1"/>
    <row r="518" ht="12.95" customHeight="1"/>
    <row r="519" ht="12.95" customHeight="1"/>
  </sheetData>
  <sheetProtection algorithmName="SHA-512" hashValue="lCEQeH1RvBbvq/OR/TV+BhhyhW7sKpt7WA3GZFHMtFzoX9Tgq5kABguvwS/jSKsG+n45vZoLIyRCoVBBbTlyMA==" saltValue="aJ7B2ZCdjqPRvez5BU8Gmw==" spinCount="100000" sheet="1" objects="1" scenarios="1"/>
  <phoneticPr fontId="19"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006f3d-06ba-4445-a12c-9c6170ceffbd">
      <Terms xmlns="http://schemas.microsoft.com/office/infopath/2007/PartnerControls"/>
    </lcf76f155ced4ddcb4097134ff3c332f>
    <TaxCatchAll xmlns="6b57fbb7-0f84-4af7-b260-14073ed5c0b2" xsi:nil="true"/>
  </documentManagement>
</p:properties>
</file>

<file path=customXml/item2.xml>��< ? x m l   v e r s i o n = " 1 . 0 "   e n c o d i n g = " u t f - 1 6 " ? > < D a t a M a s h u p   x m l n s = " h t t p : / / s c h e m a s . m i c r o s o f t . c o m / D a t a M a s h u p " > A A A A A A o F A A B Q S w M E F A A C A A g A l o m E W z + C 1 v W l A A A A 9 w A A A B I A H A B D b 2 5 m a W c v U G F j a 2 F n Z S 5 4 b W w g o h g A K K A U A A A A A A A A A A A A A A A A A A A A A A A A A A A A h Y 8 x D o I w G I W v Q r r T l m q i k l I G V 0 l M i M a 1 K R U a 4 c f Q Y r m b g 0 f y C m I U d X N 8 3 / u G 9 + 7 X G 0 + H p g 4 u u r O m h Q R F m K J A g 2 o L A 2 W C e n c M l y g V f C v V S Z Y 6 G G W w 8 W C L B F X O n W N C v P f Y z 3 D b l Y R R G p F D t s l V p R u J P r L 5 L 4 c G r J O g N B J 8 / x o j G I 7 m C x x R t s K U k 4 n y z M D X Y O P g Z / s D + b q v X d 9 p o S H c 5 Z x M k Z P 3 C f E A U E s D B B Q A A g A I A J a J h 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i Y R b / S y u X g M C A A C f A w A A E w A c A E Z v c m 1 1 b G F z L 1 N l Y 3 R p b 2 4 x L m 0 g o h g A K K A U A A A A A A A A A A A A A A A A A A A A A A A A A A A A h Z H B a t t A E I b v B r / D I O c g g a v Y x L T Q 4 I M q b V J B J K u S b E I t E z b W O h G s d o 1 2 Z d I a H 0 J P P e Q 5 8 g C l L 1 C 9 W F e y 4 0 J d p 3 v Z Z e a b f 2 f + E W Q u M 8 4 g 2 t 7 9 8 3 a r 3 R L 3 u C A p d L Q Y 3 1 L S 6 w 9 A D / A d g b O + o c E Q K J H t F q h z w Z k k K h C k C 7 N B h X 6 R U W L a d Z x J o W v 2 + 2 Q s S C G S 2 M F U E M Y T i 6 6 U + F f A L A U P F w L T J M K M L H E B b y B w f F 9 d D p + X e S 2 Q X J J C A b 1 3 J g Q F T 0 v J 4 S z x / Y F i q s e 7 E k N K I C S l 4 E C g V s F 1 F Q e X p a W Q R a Z K b S 5 x 9 V z 9 J E o r U o k s x 8 3 D d z 3 r J r J 8 F F j h z V Y i J K u e u U w X m t G F q Z s v K a n V c G 3 L U O u b Z 9 r M 6 G 7 n 3 t s y 3 F q w n r r p c G + W N t t M H S z x b E d 3 N B v f k u o Z 0 3 s u 6 j l y v s p S L m o r m x q z i U n y k e B U e a W / C K k 2 d h m L 0 m i O q b J r K I u S 7 B t R G 8 q W H C w q l U 8 p / 6 M Y F 5 i J B S 9 y m 9 M y Z / G X p d r N 0 U a 6 6 7 W G Y i v U u i A V C Z I 8 y E 0 X 1 t r E + l x 9 G 3 V 0 u j C 8 6 r v j W s 1 T v z o V h m J d J t 8 O z F r 7 E H 6 8 V g a / S o + u x h 4 C B z X Q B P m O F T X P / N e P g z 5 s K 0 D X T T Y 8 O U i G y P U n K I p d D / n x 6 B i F f B R e 7 g Y I T 0 6 3 v / z V 0 6 d x 9 e S 5 9 i h 6 l Q p R V D 0 5 4 / 9 Q n v L i Z b r R h / D 4 x x u j 3 c r Y v / d 5 / h t Q S w E C L Q A U A A I A C A C W i Y R b P 4 L W 9 a U A A A D 3 A A A A E g A A A A A A A A A A A A A A A A A A A A A A Q 2 9 u Z m l n L 1 B h Y 2 t h Z 2 U u e G 1 s U E s B A i 0 A F A A C A A g A l o m E W w / K 6 a u k A A A A 6 Q A A A B M A A A A A A A A A A A A A A A A A 8 Q A A A F t D b 2 5 0 Z W 5 0 X 1 R 5 c G V z X S 5 4 b W x Q S w E C L Q A U A A I A C A C W i Y R b / S y u X g M C A A C f A w A A E w A A A A A A A A A A A A A A A A D i A Q A A R m 9 y b X V s Y X M v U 2 V j d G l v b j E u b V B L B Q Y A A A A A A w A D A M I A A A A y 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z E A A A A A A A A J E 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A x N C U y M C h Q Y W d l J T I w M z E p P C 9 J d G V t U G F 0 a D 4 8 L 0 l 0 Z W 1 M b 2 N h d G l v b j 4 8 U 3 R h Y m x l R W 5 0 c m l l c z 4 8 R W 5 0 c n k g V H l w Z T 0 i S X N Q c m l 2 Y X R l I i B W Y W x 1 Z T 0 i b D A i I C 8 + P E V u d H J 5 I F R 5 c G U 9 I l F 1 Z X J 5 S U Q i I F Z h b H V l P S J z O D I 4 Y j F m N T M t Z D V h N C 0 0 Y j M w L W J i M z M t Z D Q 4 M 2 R l Z T Q 0 Z W Z j 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R h Y m x l M D E 0 X 1 9 Q Y W d l X z M x I i A v P j x F b n R y e S B U e X B l P S J G a W x s Z W R D b 2 1 w b G V 0 Z V J l c 3 V s d F R v V 2 9 y a 3 N o Z W V 0 I i B W Y W x 1 Z T 0 i b D E i I C 8 + P E V u d H J 5 I F R 5 c G U 9 I k F k Z G V k V G 9 E Y X R h T W 9 k Z W w i I F Z h b H V l P S J s M C I g L z 4 8 R W 5 0 c n k g V H l w Z T 0 i R m l s b E N v d W 5 0 I i B W Y W x 1 Z T 0 i b D U i I C 8 + P E V u d H J 5 I F R 5 c G U 9 I k Z p b G x F c n J v c k N v Z G U i I F Z h b H V l P S J z V W 5 r b m 9 3 b i I g L z 4 8 R W 5 0 c n k g V H l w Z T 0 i R m l s b E V y c m 9 y Q 2 9 1 b n Q i I F Z h b H V l P S J s M C I g L z 4 8 R W 5 0 c n k g V H l w Z T 0 i R m l s b E x h c 3 R V c G R h d G V k I i B W Y W x 1 Z T 0 i Z D I w M j U t M T I t M D R U M j A 6 M T A 6 M j c u M z Y y N D g 0 M 1 o i I C 8 + P E V u d H J 5 I F R 5 c G U 9 I k Z p b G x D b 2 x 1 b W 5 U e X B l c y I g V m F s d W U 9 I n N C Z 0 1 E Q m d Z R 0 F 3 T U R B d z 0 9 I i A v P j x F b n R y e S B U e X B l P S J G a W x s Q 2 9 s d W 1 u T m F t Z X M i I F Z h b H V l P S J z W y Z x d W 9 0 O 0 V U Q V I m c X V v d D s s J n F 1 b 3 Q 7 V k F a w 4 N P X G 5 N w 4 l E S U F c b i h M L 3 M p J n F 1 b 3 Q 7 L C Z x d W 9 0 O 1 Z B W s O D T 1 x u T c O B W E l N Q V x u K E w v c y k m c X V v d D s s J n F 1 b 3 Q 7 V k 9 M V U 1 F I E R F X G 5 W R U 5 E Q V N c b m 3 C s y Z x d W 9 0 O y w m c X V v d D t D Q V B F W F x u U i Q m c X V v d D s s J n F 1 b 3 Q 7 U k V J T l Z F U 1 R J T U V O V E 9 c b l I k J n F 1 b 3 Q 7 L C Z x d W 9 0 O 0 V O R V J H S U F c b l I k L 2 3 C s y Z x d W 9 0 O y w m c X V v d D t R V c O N T U l D T 1 N c b l I k L 2 3 C s y Z x d W 9 0 O y w m c X V v d D t S R V P D j U R V T 1 N c b l I k L 2 3 C s y Z x d W 9 0 O y w m c X V v d D t N w 4 N P I E R F X G 5 P Q l J B X G 5 S J C 9 t w r M 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T Q g K F B h Z 2 U g M z E p L 0 F 1 d G 9 S Z W 1 v d m V k Q 2 9 s d W 1 u c z E u e 0 V U Q V I s M H 0 m c X V v d D s s J n F 1 b 3 Q 7 U 2 V j d G l v b j E v V G F i b G U w M T Q g K F B h Z 2 U g M z E p L 0 F 1 d G 9 S Z W 1 v d m V k Q 2 9 s d W 1 u c z E u e 1 Z B W s O D T 1 x u T c O J R E l B X G 4 o T C 9 z K S w x f S Z x d W 9 0 O y w m c X V v d D t T Z W N 0 a W 9 u M S 9 U Y W J s Z T A x N C A o U G F n Z S A z M S k v Q X V 0 b 1 J l b W 9 2 Z W R D b 2 x 1 b W 5 z M S 5 7 V k F a w 4 N P X G 5 N w 4 F Y S U 1 B X G 4 o T C 9 z K S w y f S Z x d W 9 0 O y w m c X V v d D t T Z W N 0 a W 9 u M S 9 U Y W J s Z T A x N C A o U G F n Z S A z M S k v Q X V 0 b 1 J l b W 9 2 Z W R D b 2 x 1 b W 5 z M S 5 7 V k 9 M V U 1 F I E R F X G 5 W R U 5 E Q V N c b m 3 C s y w z f S Z x d W 9 0 O y w m c X V v d D t T Z W N 0 a W 9 u M S 9 U Y W J s Z T A x N C A o U G F n Z S A z M S k v Q X V 0 b 1 J l b W 9 2 Z W R D b 2 x 1 b W 5 z M S 5 7 Q 0 F Q R V h c b l I k L D R 9 J n F 1 b 3 Q 7 L C Z x d W 9 0 O 1 N l Y 3 R p b 2 4 x L 1 R h Y m x l M D E 0 I C h Q Y W d l I D M x K S 9 B d X R v U m V t b 3 Z l Z E N v b H V t b n M x L n t S R U l O V k V T V E l N R U 5 U T 1 x u U i Q s N X 0 m c X V v d D s s J n F 1 b 3 Q 7 U 2 V j d G l v b j E v V G F i b G U w M T Q g K F B h Z 2 U g M z E p L 0 F 1 d G 9 S Z W 1 v d m V k Q 2 9 s d W 1 u c z E u e 0 V O R V J H S U F c b l I k L 2 3 C s y w 2 f S Z x d W 9 0 O y w m c X V v d D t T Z W N 0 a W 9 u M S 9 U Y W J s Z T A x N C A o U G F n Z S A z M S k v Q X V 0 b 1 J l b W 9 2 Z W R D b 2 x 1 b W 5 z M S 5 7 U V X D j U 1 J Q 0 9 T X G 5 S J C 9 t w r M s N 3 0 m c X V v d D s s J n F 1 b 3 Q 7 U 2 V j d G l v b j E v V G F i b G U w M T Q g K F B h Z 2 U g M z E p L 0 F 1 d G 9 S Z W 1 v d m V k Q 2 9 s d W 1 u c z E u e 1 J F U 8 O N R F V P U 1 x u U i Q v b c K z L D h 9 J n F 1 b 3 Q 7 L C Z x d W 9 0 O 1 N l Y 3 R p b 2 4 x L 1 R h Y m x l M D E 0 I C h Q Y W d l I D M x K S 9 B d X R v U m V t b 3 Z l Z E N v b H V t b n M x L n t N w 4 N P I E R F X G 5 P Q l J B X G 5 S J C 9 t w r M s O X 0 m c X V v d D t d L C Z x d W 9 0 O 0 N v b H V t b k N v d W 5 0 J n F 1 b 3 Q 7 O j E w L C Z x d W 9 0 O 0 t l e U N v b H V t b k 5 h b W V z J n F 1 b 3 Q 7 O l t d L C Z x d W 9 0 O 0 N v b H V t b k l k Z W 5 0 a X R p Z X M m c X V v d D s 6 W y Z x d W 9 0 O 1 N l Y 3 R p b 2 4 x L 1 R h Y m x l M D E 0 I C h Q Y W d l I D M x K S 9 B d X R v U m V t b 3 Z l Z E N v b H V t b n M x L n t F V E F S L D B 9 J n F 1 b 3 Q 7 L C Z x d W 9 0 O 1 N l Y 3 R p b 2 4 x L 1 R h Y m x l M D E 0 I C h Q Y W d l I D M x K S 9 B d X R v U m V t b 3 Z l Z E N v b H V t b n M x L n t W Q V r D g 0 9 c b k 3 D i U R J Q V x u K E w v c y k s M X 0 m c X V v d D s s J n F 1 b 3 Q 7 U 2 V j d G l v b j E v V G F i b G U w M T Q g K F B h Z 2 U g M z E p L 0 F 1 d G 9 S Z W 1 v d m V k Q 2 9 s d W 1 u c z E u e 1 Z B W s O D T 1 x u T c O B W E l N Q V x u K E w v c y k s M n 0 m c X V v d D s s J n F 1 b 3 Q 7 U 2 V j d G l v b j E v V G F i b G U w M T Q g K F B h Z 2 U g M z E p L 0 F 1 d G 9 S Z W 1 v d m V k Q 2 9 s d W 1 u c z E u e 1 Z P T F V N R S B E R V x u V k V O R E F T X G 5 t w r M s M 3 0 m c X V v d D s s J n F 1 b 3 Q 7 U 2 V j d G l v b j E v V G F i b G U w M T Q g K F B h Z 2 U g M z E p L 0 F 1 d G 9 S Z W 1 v d m V k Q 2 9 s d W 1 u c z E u e 0 N B U E V Y X G 5 S J C w 0 f S Z x d W 9 0 O y w m c X V v d D t T Z W N 0 a W 9 u M S 9 U Y W J s Z T A x N C A o U G F n Z S A z M S k v Q X V 0 b 1 J l b W 9 2 Z W R D b 2 x 1 b W 5 z M S 5 7 U k V J T l Z F U 1 R J T U V O V E 9 c b l I k L D V 9 J n F 1 b 3 Q 7 L C Z x d W 9 0 O 1 N l Y 3 R p b 2 4 x L 1 R h Y m x l M D E 0 I C h Q Y W d l I D M x K S 9 B d X R v U m V t b 3 Z l Z E N v b H V t b n M x L n t F T k V S R 0 l B X G 5 S J C 9 t w r M s N n 0 m c X V v d D s s J n F 1 b 3 Q 7 U 2 V j d G l v b j E v V G F i b G U w M T Q g K F B h Z 2 U g M z E p L 0 F 1 d G 9 S Z W 1 v d m V k Q 2 9 s d W 1 u c z E u e 1 F V w 4 1 N S U N P U 1 x u U i Q v b c K z L D d 9 J n F 1 b 3 Q 7 L C Z x d W 9 0 O 1 N l Y 3 R p b 2 4 x L 1 R h Y m x l M D E 0 I C h Q Y W d l I D M x K S 9 B d X R v U m V t b 3 Z l Z E N v b H V t b n M x L n t S R V P D j U R V T 1 N c b l I k L 2 3 C s y w 4 f S Z x d W 9 0 O y w m c X V v d D t T Z W N 0 a W 9 u M S 9 U Y W J s Z T A x N C A o U G F n Z S A z M S k v Q X V 0 b 1 J l b W 9 2 Z W R D b 2 x 1 b W 5 z M S 5 7 T c O D T y B E R V x u T 0 J S Q V x u U i Q v b c K z L D l 9 J n F 1 b 3 Q 7 X S w m c X V v d D t S Z W x h d G l v b n N o a X B J b m Z v J n F 1 b 3 Q 7 O l t d f S I g L z 4 8 L 1 N 0 Y W J s Z U V u d H J p Z X M + P C 9 J d G V t P j x J d G V t P j x J d G V t T G 9 j Y X R p b 2 4 + P E l 0 Z W 1 U e X B l P k Z v c m 1 1 b G E 8 L 0 l 0 Z W 1 U e X B l P j x J d G V t U G F 0 a D 5 T Z W N 0 a W 9 u M S 9 U Y W J s Z T A x N C U y M C h Q Y W d l J T I w M z E p L 0 Z v b n R l P C 9 J d G V t U G F 0 a D 4 8 L 0 l 0 Z W 1 M b 2 N h d G l v b j 4 8 U 3 R h Y m x l R W 5 0 c m l l c y A v P j w v S X R l b T 4 8 S X R l b T 4 8 S X R l b U x v Y 2 F 0 a W 9 u P j x J d G V t V H l w Z T 5 G b 3 J t d W x h P C 9 J d G V t V H l w Z T 4 8 S X R l b V B h d G g + U 2 V j d G l v b j E v V G F i b G U w M T Q l M j A o U G F n Z S U y M D M x K S 9 U Y W J s Z T A x N D w v S X R l b V B h d G g + P C 9 J d G V t T G 9 j Y X R p b 2 4 + P F N 0 Y W J s Z U V u d H J p Z X M g L z 4 8 L 0 l 0 Z W 0 + P E l 0 Z W 0 + P E l 0 Z W 1 M b 2 N h d G l v b j 4 8 S X R l b V R 5 c G U + R m 9 y b X V s Y T w v S X R l b V R 5 c G U + P E l 0 Z W 1 Q Y X R o P l N l Y 3 R p b 2 4 x L 1 R h Y m x l M D E 0 J T I w K F B h Z 2 U l M j A z M S k v Q 2 F i Z S V D M y V B N 2 F s a G 9 z J T I w U H J v b W 9 2 a W R v c z w v S X R l b V B h d G g + P C 9 J d G V t T G 9 j Y X R p b 2 4 + P F N 0 Y W J s Z U V u d H J p Z X M g L z 4 8 L 0 l 0 Z W 0 + P E l 0 Z W 0 + P E l 0 Z W 1 M b 2 N h d G l v b j 4 8 S X R l b V R 5 c G U + R m 9 y b X V s Y T w v S X R l b V R 5 c G U + P E l 0 Z W 1 Q Y X R o P l N l Y 3 R p b 2 4 x L 1 R h Y m x l M D E 0 J T I w K F B h Z 2 U l M j A z M S k v V G l w b y U y M E F s d G V y Y W R v P C 9 J d G V t U G F 0 a D 4 8 L 0 l 0 Z W 1 M b 2 N h d G l v b j 4 8 U 3 R h Y m x l R W 5 0 c m l l c y A v P j w v S X R l b T 4 8 L 0 l 0 Z W 1 z P j w v T G 9 j Y W x Q Y W N r Y W d l T W V 0 Y W R h d G F G a W x l P h Y A A A B Q S w U G A A A A A A A A A A A A A A A A A A A A A A A A J g E A A A E A A A D Q j J 3 f A R X R E Y x 6 A M B P w p f r A Q A A A L S 1 Z N r R 9 Q h E p h h s w B O Z I Y g A A A A A A g A A A A A A E G Y A A A A B A A A g A A A A j 5 H 4 o x P C D s F + L T X f 0 f 1 I B y 6 T E D o y L Y S s M l J U 0 v V p V g k A A A A A D o A A A A A C A A A g A A A A V A L z J g j 9 d V Q E z S U L f Q c 6 o T z R O M i Y S s D Z P a m C 6 0 Y 1 t t p Q A A A A E h 3 / i D Q q U I x o F T x v D h e D + 7 V F W K w 7 o e W s 4 U D I J D 4 y e F V G R v Q O 8 X S M 5 H c r u v 5 Y I h j D H 7 c e P v 6 5 v O 0 F V y e Z g Z S j v v 1 4 S M R + o w 7 Z Q R M X 9 k V L r y p A A A A A 2 F p s e D p d q k u h o N b p 5 t K u K l L u d c v B d O P 9 o i 4 e G n Y o l d 7 + J j U A l J o U / C e L s g z 5 S Q p g 1 o C 1 Z M z + R I p Q o U c e 8 A y u i w = = < / 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E39B861FB2CD749A916FE63FF88BC72" ma:contentTypeVersion="14" ma:contentTypeDescription="Create a new document." ma:contentTypeScope="" ma:versionID="68bef544a240450beb4a5b5caf74ba99">
  <xsd:schema xmlns:xsd="http://www.w3.org/2001/XMLSchema" xmlns:xs="http://www.w3.org/2001/XMLSchema" xmlns:p="http://schemas.microsoft.com/office/2006/metadata/properties" xmlns:ns2="73006f3d-06ba-4445-a12c-9c6170ceffbd" xmlns:ns3="6b57fbb7-0f84-4af7-b260-14073ed5c0b2" targetNamespace="http://schemas.microsoft.com/office/2006/metadata/properties" ma:root="true" ma:fieldsID="bce80ae76f4e3fbd3ec2ab492f272cbb" ns2:_="" ns3:_="">
    <xsd:import namespace="73006f3d-06ba-4445-a12c-9c6170ceffbd"/>
    <xsd:import namespace="6b57fbb7-0f84-4af7-b260-14073ed5c0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006f3d-06ba-4445-a12c-9c6170ceff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30aa7a-1173-4a8f-8fff-517453f034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57fbb7-0f84-4af7-b260-14073ed5c0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df4ce6-bc00-43f1-af15-8487948f1211}" ma:internalName="TaxCatchAll" ma:showField="CatchAllData" ma:web="6b57fbb7-0f84-4af7-b260-14073ed5c0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ZjhhZjM5YS0xYmYyLTRiODktYTdiNy1kZjJlZDQ5MGRmMjEiIG9yaWdpbj0idXNlclNlbGVjdGVkIiAvPjxVc2VyTmFtZT5TQU5FUEFSXHMwMTA5MDE8L1VzZXJOYW1lPjxEYXRlVGltZT4xNS8wNi8yMDI2IDE4OjE4OjUzPC9EYXRlVGltZT48TGFiZWxTdHJpbmc+Tm8gTWFya2luZzwvTGFiZWxTdHJpbmc+PC9pdGVtPjwvbGFiZWxIaXN0b3J5Pg==</Value>
</WrappedLabelHistory>
</file>

<file path=customXml/item6.xml><?xml version="1.0" encoding="utf-8"?>
<sisl xmlns:xsd="http://www.w3.org/2001/XMLSchema" xmlns:xsi="http://www.w3.org/2001/XMLSchema-instance" xmlns="http://www.boldonjames.com/2008/01/sie/internal/label" sislVersion="0" policy="ef8af39a-1bf2-4b89-a7b7-df2ed490df21" origin="userSelected"/>
</file>

<file path=customXml/itemProps1.xml><?xml version="1.0" encoding="utf-8"?>
<ds:datastoreItem xmlns:ds="http://schemas.openxmlformats.org/officeDocument/2006/customXml" ds:itemID="{9E953BA2-4688-4D33-B192-BF01B00617C9}">
  <ds:schemaRefs>
    <ds:schemaRef ds:uri="http://schemas.microsoft.com/office/2006/documentManagement/types"/>
    <ds:schemaRef ds:uri="http://purl.org/dc/dcmitype/"/>
    <ds:schemaRef ds:uri="http://schemas.microsoft.com/office/2006/metadata/properties"/>
    <ds:schemaRef ds:uri="6b57fbb7-0f84-4af7-b260-14073ed5c0b2"/>
    <ds:schemaRef ds:uri="http://purl.org/dc/elements/1.1/"/>
    <ds:schemaRef ds:uri="http://schemas.microsoft.com/office/infopath/2007/PartnerControls"/>
    <ds:schemaRef ds:uri="http://purl.org/dc/terms/"/>
    <ds:schemaRef ds:uri="http://schemas.openxmlformats.org/package/2006/metadata/core-properties"/>
    <ds:schemaRef ds:uri="73006f3d-06ba-4445-a12c-9c6170ceffbd"/>
    <ds:schemaRef ds:uri="http://www.w3.org/XML/1998/namespace"/>
  </ds:schemaRefs>
</ds:datastoreItem>
</file>

<file path=customXml/itemProps2.xml><?xml version="1.0" encoding="utf-8"?>
<ds:datastoreItem xmlns:ds="http://schemas.openxmlformats.org/officeDocument/2006/customXml" ds:itemID="{84CEE157-9CE7-4695-9E55-1FD169C6C114}">
  <ds:schemaRefs>
    <ds:schemaRef ds:uri="http://schemas.microsoft.com/DataMashup"/>
  </ds:schemaRefs>
</ds:datastoreItem>
</file>

<file path=customXml/itemProps3.xml><?xml version="1.0" encoding="utf-8"?>
<ds:datastoreItem xmlns:ds="http://schemas.openxmlformats.org/officeDocument/2006/customXml" ds:itemID="{F4A8CEFF-E78B-474F-B19D-082E59ECCC80}">
  <ds:schemaRefs>
    <ds:schemaRef ds:uri="http://schemas.microsoft.com/sharepoint/v3/contenttype/forms"/>
  </ds:schemaRefs>
</ds:datastoreItem>
</file>

<file path=customXml/itemProps4.xml><?xml version="1.0" encoding="utf-8"?>
<ds:datastoreItem xmlns:ds="http://schemas.openxmlformats.org/officeDocument/2006/customXml" ds:itemID="{3F16A499-2680-4EC3-81CA-F84604005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006f3d-06ba-4445-a12c-9c6170ceffbd"/>
    <ds:schemaRef ds:uri="6b57fbb7-0f84-4af7-b260-14073ed5c0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AB0A4CB-6ECA-4989-B0D1-A735752F78CA}">
  <ds:schemaRefs>
    <ds:schemaRef ds:uri="http://www.w3.org/2001/XMLSchema"/>
    <ds:schemaRef ds:uri="http://www.boldonjames.com/2016/02/Classifier/internal/wrappedLabelHistory"/>
  </ds:schemaRefs>
</ds:datastoreItem>
</file>

<file path=customXml/itemProps6.xml><?xml version="1.0" encoding="utf-8"?>
<ds:datastoreItem xmlns:ds="http://schemas.openxmlformats.org/officeDocument/2006/customXml" ds:itemID="{3CFBAFC6-C36C-4BF6-ACC2-036E46FDC88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23</vt:i4>
      </vt:variant>
    </vt:vector>
  </HeadingPairs>
  <TitlesOfParts>
    <vt:vector size="23" baseType="lpstr">
      <vt:lpstr>Capa</vt:lpstr>
      <vt:lpstr>Instruções</vt:lpstr>
      <vt:lpstr>Habilitação</vt:lpstr>
      <vt:lpstr>Classificação</vt:lpstr>
      <vt:lpstr>Premissas Técnicas</vt:lpstr>
      <vt:lpstr>Matriz de Riscos</vt:lpstr>
      <vt:lpstr>Dashboard</vt:lpstr>
      <vt:lpstr>Premissas e Cálculos</vt:lpstr>
      <vt:lpstr>Modelo Financeiro (MEF)</vt:lpstr>
      <vt:lpstr>Opções</vt:lpstr>
      <vt:lpstr>Aux_cotações</vt:lpstr>
      <vt:lpstr>Análise preliminar - Capex</vt:lpstr>
      <vt:lpstr>Aux &gt;&gt;&gt;</vt:lpstr>
      <vt:lpstr>Capex.Opex_Ref téc</vt:lpstr>
      <vt:lpstr>Aux_Capex.Opex_ETAR</vt:lpstr>
      <vt:lpstr>Aux - FOPAG</vt:lpstr>
      <vt:lpstr>Inflação</vt:lpstr>
      <vt:lpstr>Macro</vt:lpstr>
      <vt:lpstr>old &gt;&gt;&gt;</vt:lpstr>
      <vt:lpstr>Referencias_Capex</vt:lpstr>
      <vt:lpstr>Análise preliminar</vt:lpstr>
      <vt:lpstr>UPSLIDE_UndoFormatting</vt:lpstr>
      <vt:lpstr>UPSLIDE_Undo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Dalseno, Thais</dc:creator>
  <cp:lastModifiedBy>Luiz Carlos Braz de Jesus</cp:lastModifiedBy>
  <dcterms:created xsi:type="dcterms:W3CDTF">2025-08-22T17:43:12Z</dcterms:created>
  <dcterms:modified xsi:type="dcterms:W3CDTF">2026-06-30T17:25:37Z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f81cae-2cc7-434f-b11d-39789e497bf2_Enabled">
    <vt:lpwstr>true</vt:lpwstr>
  </property>
  <property fmtid="{D5CDD505-2E9C-101B-9397-08002B2CF9AE}" pid="3" name="MSIP_Label_31f81cae-2cc7-434f-b11d-39789e497bf2_SetDate">
    <vt:lpwstr>2025-08-22T17:43:18Z</vt:lpwstr>
  </property>
  <property fmtid="{D5CDD505-2E9C-101B-9397-08002B2CF9AE}" pid="4" name="MSIP_Label_31f81cae-2cc7-434f-b11d-39789e497bf2_Method">
    <vt:lpwstr>Standard</vt:lpwstr>
  </property>
  <property fmtid="{D5CDD505-2E9C-101B-9397-08002B2CF9AE}" pid="5" name="MSIP_Label_31f81cae-2cc7-434f-b11d-39789e497bf2_Name">
    <vt:lpwstr>Confidential</vt:lpwstr>
  </property>
  <property fmtid="{D5CDD505-2E9C-101B-9397-08002B2CF9AE}" pid="6" name="MSIP_Label_31f81cae-2cc7-434f-b11d-39789e497bf2_SiteId">
    <vt:lpwstr>dd5e230f-c165-49c4-957f-e203458fffab</vt:lpwstr>
  </property>
  <property fmtid="{D5CDD505-2E9C-101B-9397-08002B2CF9AE}" pid="7" name="MSIP_Label_31f81cae-2cc7-434f-b11d-39789e497bf2_ActionId">
    <vt:lpwstr>24595f03-98b9-49c2-a1f7-b27612f77b73</vt:lpwstr>
  </property>
  <property fmtid="{D5CDD505-2E9C-101B-9397-08002B2CF9AE}" pid="8" name="MSIP_Label_31f81cae-2cc7-434f-b11d-39789e497bf2_ContentBits">
    <vt:lpwstr>0</vt:lpwstr>
  </property>
  <property fmtid="{D5CDD505-2E9C-101B-9397-08002B2CF9AE}" pid="9" name="MSIP_Label_31f81cae-2cc7-434f-b11d-39789e497bf2_Tag">
    <vt:lpwstr>10, 3, 0, 1</vt:lpwstr>
  </property>
  <property fmtid="{D5CDD505-2E9C-101B-9397-08002B2CF9AE}" pid="10" name="ContentTypeId">
    <vt:lpwstr>0x0101007E39B861FB2CD749A916FE63FF88BC72</vt:lpwstr>
  </property>
  <property fmtid="{D5CDD505-2E9C-101B-9397-08002B2CF9AE}" pid="11" name="MediaServiceImageTags">
    <vt:lpwstr/>
  </property>
  <property fmtid="{D5CDD505-2E9C-101B-9397-08002B2CF9AE}" pid="12" name="docIndexRef">
    <vt:lpwstr>763524a3-863d-44be-aa6c-e785763a6bc9</vt:lpwstr>
  </property>
  <property fmtid="{D5CDD505-2E9C-101B-9397-08002B2CF9AE}" pid="13" name="bjDocumentSecurityLabel">
    <vt:lpwstr>No Marking</vt:lpwstr>
  </property>
  <property fmtid="{D5CDD505-2E9C-101B-9397-08002B2CF9AE}" pid="14" name="bjSaver">
    <vt:lpwstr>KF2z/d3aQyWnRJxtQLh1trKVWWuvLlXZ</vt:lpwstr>
  </property>
  <property fmtid="{D5CDD505-2E9C-101B-9397-08002B2CF9AE}" pid="15" name="bjClsUserRVM">
    <vt:lpwstr>[]</vt:lpwstr>
  </property>
  <property fmtid="{D5CDD505-2E9C-101B-9397-08002B2CF9AE}" pid="16" name="bjLabelHistoryID">
    <vt:lpwstr>{DAB0A4CB-6ECA-4989-B0D1-A735752F78CA}</vt:lpwstr>
  </property>
</Properties>
</file>